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<sst xmlns="http://schemas.openxmlformats.org/spreadsheetml/2006/main" count="562" uniqueCount="206">
  <si>
    <t>ОТЧЕТ ОБ ИСПОЛНЕНИИ БЮДЖЕТА</t>
  </si>
  <si>
    <t>КОДЫ</t>
  </si>
  <si>
    <t xml:space="preserve">Форма по ОКУД </t>
  </si>
  <si>
    <t>0503117</t>
  </si>
  <si>
    <t>на 1 июня 2018 г.</t>
  </si>
  <si>
    <t xml:space="preserve">Дата </t>
  </si>
  <si>
    <t>Наименование финансового органа</t>
  </si>
  <si>
    <t>Администрация сельского поселения п.Малый Атлым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</si>
  <si>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</si>
  <si>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</si>
  <si>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</si>
  <si>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</si>
  <si>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</si>
  <si>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</si>
  <si>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</si>
  <si>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</si>
  <si>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</si>
  <si>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</si>
  <si>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</si>
  <si>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</si>
  <si>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</si>
  <si>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</si>
  <si>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</si>
  <si>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</si>
  <si>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</si>
  <si>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</si>
  <si>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</si>
  <si>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</si>
  <si>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</si>
  <si>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</si>
  <si>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</si>
  <si>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</si>
  <si>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</si>
  <si>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</si>
  <si>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</si>
  <si>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</si>
  <si>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</si>
  <si>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</si>
  <si>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</si>
  <si>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</si>
  <si>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</si>
  <si>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</si>
  <si>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</si>
  <si>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</si>
  <si>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</si>
  <si>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</si>
  <si>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</si>
  <si>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</si>
  <si>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</si>
  <si>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</si>
  <si>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</si>
  <si>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</si>
  <si>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</si>
  <si>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</si>
  <si>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</si>
  <si>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</si>
  <si>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</si>
  <si>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</si>
  <si>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</si>
  <si>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</si>
  <si>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</si>
  <si>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</si>
  <si>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</si>
  <si>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</si>
  <si>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</si>
  <si>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</si>
  <si>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</si>
  <si>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</si>
  <si>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</si>
  <si>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</si>
  <si>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</si>
  <si>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</si>
  <si>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</si>
  <si>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</si>
  <si>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</si>
  <si>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</si>
  <si>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</si>
  <si>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</si>
  <si>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</si>
  <si>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</si>
  <si>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</si>
  <si>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</si>
  <si>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</si>
  <si>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</si>
  <si>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</si>
  <si>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</si>
  <si>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</si>
  <si>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</si>
  <si>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</si>
  <si>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</si>
  <si>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</si>
  <si>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</si>
  <si>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</si>
  <si>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</si>
  <si>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</si>
  <si>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</si>
  <si>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</si>
  <si>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</si>
  <si>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</si>
  <si>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</si>
  <si>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Иные расходы</t>
  </si>
  <si>
    <t>650 0107 4010099990 244</t>
  </si>
  <si>
    <t>296</t>
  </si>
  <si>
    <t>650 0111 4080020210 870</t>
  </si>
  <si>
    <t>Прочие работы, услуги</t>
  </si>
  <si>
    <t>650 0113 4010002400 244</t>
  </si>
  <si>
    <t>226</t>
  </si>
  <si>
    <t>Налоги, пошлины и сборы</t>
  </si>
  <si>
    <t>650 0113 4010002400 851</t>
  </si>
  <si>
    <t>291</t>
  </si>
  <si>
    <t>650 0113 4010002400 852</t>
  </si>
  <si>
    <t>Штрафы за нарушение законодательства о налогах и сборах, законодательства о страховых взносах</t>
  </si>
  <si>
    <t>650 0113 4010002400 853</t>
  </si>
  <si>
    <t>292</t>
  </si>
  <si>
    <t>Прочие выплаты</t>
  </si>
  <si>
    <t>650 0113 4010099990 122</t>
  </si>
  <si>
    <t>212</t>
  </si>
  <si>
    <t>Транспортные услуги</t>
  </si>
  <si>
    <t>222</t>
  </si>
  <si>
    <t>Услуги связи</t>
  </si>
  <si>
    <t>650 0113 4010099990 244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</si>
  <si>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</si>
  <si>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</si>
  <si>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</si>
  <si>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</si>
  <si>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</si>
  <si>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</si>
  <si>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</si>
  <si>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</si>
  <si>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</si>
  <si>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</si>
  <si>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</si>
  <si>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</si>
  <si>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</si>
  <si>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</si>
  <si>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</si>
  <si>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</si>
  <si>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</si>
  <si>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</si>
  <si>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</si>
  <si>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650 0309 4020099990 244</t>
  </si>
  <si>
    <t>650 0401 1930185060 111</t>
  </si>
  <si>
    <t>650 0401 1930185060 119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</si>
  <si>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</si>
  <si>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</si>
  <si>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</si>
  <si>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</si>
  <si>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</si>
  <si>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</si>
  <si>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11101S2390 244</t>
  </si>
  <si>
    <t>650 0409 4030099990 244</t>
  </si>
  <si>
    <t>650 0410 4010002400 244</t>
  </si>
  <si>
    <t>650 0501 4060099990 243</t>
  </si>
  <si>
    <t>650 0501 4060099990 244</t>
  </si>
  <si>
    <t>650 0502 1010182591 243</t>
  </si>
  <si>
    <t>650 0502 10101S2591 243</t>
  </si>
  <si>
    <t>650 0503 1060182600 244</t>
  </si>
  <si>
    <t>650 0503 10601R5550 244</t>
  </si>
  <si>
    <t>650 0503 10601S5550 244</t>
  </si>
  <si>
    <t>650 0503 4060099990 244</t>
  </si>
  <si>
    <t>650 0801 0310182520 244</t>
  </si>
  <si>
    <t>650 0801 03101S2520 244</t>
  </si>
  <si>
    <t>650 0801 4070000590 111</t>
  </si>
  <si>
    <t>650 0801 4070000590 112</t>
  </si>
  <si>
    <t>650 0801 4070000590 119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</si>
  <si>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</si>
  <si>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</si>
  <si>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</si>
  <si>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</si>
  <si>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</si>
  <si>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650 0801 4070020700 360</t>
  </si>
  <si>
    <t>Пенсии, пособия, выплачиваемые организациями сектора государственного управления</t>
  </si>
  <si>
    <t>650 1001 4010071600 312</t>
  </si>
  <si>
    <t>263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</si>
  <si>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</si>
  <si>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</si>
  <si>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</si>
  <si>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</si>
  <si>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</si>
  <si>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</si>
  <si>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</si>
  <si>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</si>
  <si>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</si>
  <si>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</si>
  <si>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</si>
  <si>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</si>
  <si>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</si>
  <si>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</si>
  <si>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</si>
  <si>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</si>
  <si>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</si>
  <si>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</si>
  <si>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</si>
  <si>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</si>
  <si>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</si>
  <si>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</si>
  <si>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</si>
  <si>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</si>
  <si>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</si>
  <si>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Дейнеко С. В.</t>
  </si>
  <si>
    <t>(подпись)</t>
  </si>
  <si>
    <t>(расшифровка подписи)</t>
  </si>
  <si>
    <t>Бешенцева Н. В.</t>
  </si>
  <si>
    <t>Исполнитель:</t>
  </si>
  <si>
    <t>(должность)</t>
  </si>
  <si>
    <t xml:space="preserve">   14 июня 2018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</si>
</sst>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5" fillId="0" borderId="28" xfId="0" applyNumberFormat="1" applyAlignment="1">
      <alignment/>
    </xf>
    <xf numFmtId="0" fontId="6" fillId="0" borderId="28" xfId="0" applyNumberFormat="1" applyAlignment="1">
      <alignment/>
    </xf>
    <xf numFmtId="0" fontId="7" fillId="0" borderId="28" xfId="0" applyNumberFormat="1" applyAlignment="1">
      <alignment/>
    </xf>
    <xf numFmtId="0" fontId="7" fillId="0" borderId="28" xfId="0" applyNumberFormat="1" applyAlignment="1">
      <alignment wrapText="1"/>
    </xf>
    <xf numFmtId="0" fontId="7" fillId="2" borderId="28" xfId="0" applyNumberFormat="1" applyAlignment="1">
      <alignment wrapText="1"/>
    </xf>
    <xf numFmtId="0" fontId="7" fillId="3" borderId="28" xfId="0" applyNumberFormat="1" applyAlignment="1">
      <alignment wrapText="1"/>
    </xf>
    <xf numFmtId="0" fontId="7" fillId="3" borderId="28" xfId="0" applyNumberFormat="1" applyAlignment="1">
      <alignment horizontal="right" wrapText="1"/>
    </xf>
    <xf numFmtId="0" fontId="7" fillId="3" borderId="28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5" fillId="0" borderId="23" xfId="0" applyNumberFormat="1" applyAlignment="1">
      <alignment/>
    </xf>
    <xf numFmtId="0" fontId="6" fillId="0" borderId="23" xfId="0" applyNumberFormat="1" applyAlignment="1">
      <alignment/>
    </xf>
    <xf numFmtId="0" fontId="7" fillId="0" borderId="23" xfId="0" applyNumberFormat="1" applyAlignment="1">
      <alignment/>
    </xf>
    <xf numFmtId="0" fontId="7" fillId="0" borderId="23" xfId="0" applyNumberFormat="1" applyAlignment="1">
      <alignment wrapText="1"/>
    </xf>
    <xf numFmtId="0" fontId="7" fillId="2" borderId="23" xfId="0" applyNumberFormat="1" applyAlignment="1">
      <alignment wrapText="1"/>
    </xf>
    <xf numFmtId="0" fontId="7" fillId="3" borderId="23" xfId="0" applyNumberFormat="1" applyAlignment="1">
      <alignment wrapText="1"/>
    </xf>
    <xf numFmtId="0" fontId="7" fillId="3" borderId="23" xfId="0" applyNumberFormat="1" applyAlignment="1">
      <alignment horizontal="center" wrapText="1"/>
    </xf>
    <xf numFmtId="0" fontId="7" fillId="3" borderId="23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0" fontId="5" fillId="0" borderId="33" xfId="0" applyNumberFormat="1" applyAlignment="1">
      <alignment/>
    </xf>
    <xf numFmtId="0" fontId="6" fillId="0" borderId="33" xfId="0" applyNumberFormat="1" applyAlignment="1">
      <alignment/>
    </xf>
    <xf numFmtId="0" fontId="7" fillId="0" borderId="33" xfId="0" applyNumberFormat="1" applyAlignment="1">
      <alignment/>
    </xf>
    <xf numFmtId="0" fontId="7" fillId="0" borderId="33" xfId="0" applyNumberFormat="1" applyAlignment="1">
      <alignment wrapText="1"/>
    </xf>
    <xf numFmtId="0" fontId="7" fillId="2" borderId="33" xfId="0" applyNumberFormat="1" applyAlignment="1">
      <alignment wrapText="1"/>
    </xf>
    <xf numFmtId="0" fontId="7" fillId="3" borderId="33" xfId="0" applyNumberFormat="1" applyAlignment="1">
      <alignment wrapText="1"/>
    </xf>
    <xf numFmtId="0" fontId="7" fillId="3" borderId="33" xfId="0" applyNumberFormat="1" applyAlignment="1">
      <alignment horizontal="center" wrapText="1"/>
    </xf>
    <xf numFmtId="0" fontId="7" fillId="3" borderId="33" xfId="0" applyNumberFormat="1" applyAlignment="1">
      <alignment horizontal="center" vertical="center" wrapText="1"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0" fontId="5" fillId="0" borderId="40" xfId="0" applyNumberFormat="1" applyAlignment="1">
      <alignment/>
    </xf>
    <xf numFmtId="0" fontId="6" fillId="0" borderId="40" xfId="0" applyNumberFormat="1" applyAlignment="1">
      <alignment/>
    </xf>
    <xf numFmtId="0" fontId="7" fillId="0" borderId="40" xfId="0" applyNumberFormat="1" applyAlignment="1">
      <alignment/>
    </xf>
    <xf numFmtId="0" fontId="7" fillId="0" borderId="40" xfId="0" applyNumberFormat="1" applyAlignment="1">
      <alignment wrapText="1"/>
    </xf>
    <xf numFmtId="0" fontId="7" fillId="2" borderId="40" xfId="0" applyNumberFormat="1" applyAlignment="1">
      <alignment wrapText="1"/>
    </xf>
    <xf numFmtId="0" fontId="7" fillId="3" borderId="40" xfId="0" applyNumberFormat="1" applyAlignment="1">
      <alignment wrapText="1"/>
    </xf>
    <xf numFmtId="0" fontId="7" fillId="3" borderId="40" xfId="0" applyNumberFormat="1" applyAlignment="1">
      <alignment horizontal="center" wrapText="1"/>
    </xf>
    <xf numFmtId="0" fontId="7" fillId="3" borderId="40" xfId="0" applyNumberFormat="1" applyAlignment="1">
      <alignment horizontal="center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0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4" t="s">
        <v>1</v>
      </c>
    </row>
    <row r="2" spans="1:29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3" t="s">
        <v>3</v>
      </c>
    </row>
    <row r="3" spans="1:29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31" t="s">
        <v>5</v>
      </c>
      <c r="AA3" s="31"/>
      <c r="AB3" s="31"/>
      <c r="AC3" s="54">
        <v>43252</v>
      </c>
    </row>
    <row r="4" spans="1:29" s="1" customFormat="1" ht="13.5" customHeight="1">
      <c r="A4" s="55" t="s">
        <v>6</v>
      </c>
      <c r="B4" s="55"/>
      <c r="C4" s="55"/>
      <c r="D4" s="55"/>
      <c r="E4" s="55"/>
      <c r="F4" s="64" t="s">
        <v>7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1" t="s">
        <v>8</v>
      </c>
      <c r="Z4" s="31"/>
      <c r="AA4" s="31"/>
      <c r="AB4" s="31"/>
      <c r="AC4" s="72" t="s">
        <v>10</v>
      </c>
    </row>
    <row r="5" spans="1:29" s="1" customFormat="1" ht="13.5" customHeight="1">
      <c r="A5" s="55"/>
      <c r="B5" s="55"/>
      <c r="C5" s="55"/>
      <c r="D5" s="55"/>
      <c r="E5" s="5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1" t="s">
        <v>9</v>
      </c>
      <c r="Z5" s="31"/>
      <c r="AA5" s="31"/>
      <c r="AB5" s="31"/>
      <c r="AC5" s="72" t="s">
        <v>10</v>
      </c>
    </row>
    <row r="6" spans="1:29" s="1" customFormat="1" ht="13.5" customHeight="1">
      <c r="A6" s="55" t="s">
        <v>11</v>
      </c>
      <c r="B6" s="55"/>
      <c r="C6" s="55"/>
      <c r="D6" s="55"/>
      <c r="E6" s="55"/>
      <c r="F6" s="55"/>
      <c r="G6" s="64" t="s">
        <v>12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1" t="s">
        <v>13</v>
      </c>
      <c r="Z6" s="31"/>
      <c r="AA6" s="31"/>
      <c r="AB6" s="31"/>
      <c r="AC6" s="72" t="s">
        <v>14</v>
      </c>
    </row>
    <row r="7" spans="1:29" s="1" customFormat="1" ht="13.5" customHeight="1">
      <c r="A7" s="79" t="s">
        <v>15</v>
      </c>
      <c r="B7" s="55" t="s">
        <v>16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72" t="s">
        <v>10</v>
      </c>
    </row>
    <row r="8" spans="1:29" s="1" customFormat="1" ht="13.5" customHeight="1">
      <c r="A8" s="55" t="s">
        <v>17</v>
      </c>
      <c r="B8" s="55"/>
      <c r="C8" s="55"/>
      <c r="D8" s="55"/>
      <c r="E8" s="55" t="s">
        <v>18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31" t="s">
        <v>19</v>
      </c>
      <c r="Y8" s="31"/>
      <c r="Z8" s="31"/>
      <c r="AA8" s="31"/>
      <c r="AB8" s="31"/>
      <c r="AC8" s="88" t="s">
        <v>20</v>
      </c>
    </row>
    <row r="9" spans="1:29" s="1" customFormat="1" ht="13.5" customHeight="1">
      <c r="A9" s="90" t="s">
        <v>21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s="1" customFormat="1" ht="34.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 t="s">
        <v>23</v>
      </c>
      <c r="N10" s="102"/>
      <c r="O10" s="102"/>
      <c r="P10" s="102" t="s">
        <v>24</v>
      </c>
      <c r="Q10" s="102"/>
      <c r="R10" s="102"/>
      <c r="S10" s="114" t="s">
        <v>25</v>
      </c>
      <c r="T10" s="114"/>
      <c r="U10" s="114"/>
      <c r="V10" s="114" t="s">
        <v>26</v>
      </c>
      <c r="W10" s="114"/>
      <c r="X10" s="114"/>
      <c r="Y10" s="114"/>
      <c r="Z10" s="114"/>
      <c r="AA10" s="125" t="s">
        <v>27</v>
      </c>
      <c r="AB10" s="125"/>
      <c r="AC10" s="125"/>
    </row>
    <row r="11" spans="1:29" s="1" customFormat="1" ht="12.75" customHeight="1">
      <c r="A11" s="135" t="s">
        <v>28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29</v>
      </c>
      <c r="N11" s="135"/>
      <c r="O11" s="135"/>
      <c r="P11" s="135" t="s">
        <v>30</v>
      </c>
      <c r="Q11" s="135"/>
      <c r="R11" s="135"/>
      <c r="S11" s="145" t="s">
        <v>31</v>
      </c>
      <c r="T11" s="145"/>
      <c r="U11" s="145"/>
      <c r="V11" s="145" t="s">
        <v>32</v>
      </c>
      <c r="W11" s="145"/>
      <c r="X11" s="145"/>
      <c r="Y11" s="145"/>
      <c r="Z11" s="145"/>
      <c r="AA11" s="155" t="s">
        <v>33</v>
      </c>
      <c r="AB11" s="155"/>
      <c r="AC11" s="155"/>
    </row>
    <row r="12" spans="1:29" s="1" customFormat="1" ht="13.5" customHeight="1">
      <c r="A12" s="163" t="s">
        <v>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5" t="s">
        <v>35</v>
      </c>
      <c r="N12" s="165"/>
      <c r="O12" s="165"/>
      <c r="P12" s="165" t="s">
        <v>36</v>
      </c>
      <c r="Q12" s="165"/>
      <c r="R12" s="165"/>
      <c r="S12" s="174">
        <f>56216194.54</f>
      </c>
      <c r="T12" s="174"/>
      <c r="U12" s="174"/>
      <c r="V12" s="174">
        <f>21147087.55</f>
      </c>
      <c r="W12" s="174"/>
      <c r="X12" s="174"/>
      <c r="Y12" s="174"/>
      <c r="Z12" s="174"/>
      <c r="AA12" s="183">
        <f>35069106.99</f>
      </c>
      <c r="AB12" s="183"/>
      <c r="AC12" s="183"/>
    </row>
    <row r="13" spans="1:29" s="1" customFormat="1" ht="45" customHeight="1">
      <c r="A13" s="192" t="s">
        <v>37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4" t="s">
        <v>35</v>
      </c>
      <c r="N13" s="194"/>
      <c r="O13" s="194"/>
      <c r="P13" s="194" t="s">
        <v>38</v>
      </c>
      <c r="Q13" s="194"/>
      <c r="R13" s="194"/>
      <c r="S13" s="204">
        <f>1783700</f>
      </c>
      <c r="T13" s="204"/>
      <c r="U13" s="204"/>
      <c r="V13" s="204">
        <f>1000131.91</f>
      </c>
      <c r="W13" s="204"/>
      <c r="X13" s="204"/>
      <c r="Y13" s="204"/>
      <c r="Z13" s="204"/>
      <c r="AA13" s="214">
        <f>783568.09</f>
      </c>
      <c r="AB13" s="214"/>
      <c r="AC13" s="214"/>
    </row>
    <row r="14" spans="1:29" s="1" customFormat="1" ht="54.75" customHeight="1">
      <c r="A14" s="192" t="s">
        <v>39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4" t="s">
        <v>35</v>
      </c>
      <c r="N14" s="194"/>
      <c r="O14" s="194"/>
      <c r="P14" s="194" t="s">
        <v>40</v>
      </c>
      <c r="Q14" s="194"/>
      <c r="R14" s="194"/>
      <c r="S14" s="204">
        <f>52500</f>
      </c>
      <c r="T14" s="204"/>
      <c r="U14" s="204"/>
      <c r="V14" s="204">
        <f>7450.59</f>
      </c>
      <c r="W14" s="204"/>
      <c r="X14" s="204"/>
      <c r="Y14" s="204"/>
      <c r="Z14" s="204"/>
      <c r="AA14" s="214">
        <f>45049.41</f>
      </c>
      <c r="AB14" s="214"/>
      <c r="AC14" s="214"/>
    </row>
    <row r="15" spans="1:29" s="1" customFormat="1" ht="45" customHeight="1">
      <c r="A15" s="192" t="s">
        <v>41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4" t="s">
        <v>35</v>
      </c>
      <c r="N15" s="194"/>
      <c r="O15" s="194"/>
      <c r="P15" s="194" t="s">
        <v>42</v>
      </c>
      <c r="Q15" s="194"/>
      <c r="R15" s="194"/>
      <c r="S15" s="204">
        <f>3410000</f>
      </c>
      <c r="T15" s="204"/>
      <c r="U15" s="204"/>
      <c r="V15" s="204">
        <f>1515974.23</f>
      </c>
      <c r="W15" s="204"/>
      <c r="X15" s="204"/>
      <c r="Y15" s="204"/>
      <c r="Z15" s="204"/>
      <c r="AA15" s="214">
        <f>1894025.77</f>
      </c>
      <c r="AB15" s="214"/>
      <c r="AC15" s="214"/>
    </row>
    <row r="16" spans="1:29" s="1" customFormat="1" ht="45" customHeight="1">
      <c r="A16" s="192" t="s">
        <v>43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4" t="s">
        <v>35</v>
      </c>
      <c r="N16" s="194"/>
      <c r="O16" s="194"/>
      <c r="P16" s="194" t="s">
        <v>44</v>
      </c>
      <c r="Q16" s="194"/>
      <c r="R16" s="194"/>
      <c r="S16" s="222" t="s">
        <v>45</v>
      </c>
      <c r="T16" s="222"/>
      <c r="U16" s="222"/>
      <c r="V16" s="204">
        <f>-207079.2</f>
      </c>
      <c r="W16" s="204"/>
      <c r="X16" s="204"/>
      <c r="Y16" s="204"/>
      <c r="Z16" s="204"/>
      <c r="AA16" s="230" t="s">
        <v>45</v>
      </c>
      <c r="AB16" s="230"/>
      <c r="AC16" s="230"/>
    </row>
    <row r="17" spans="1:29" s="1" customFormat="1" ht="45" customHeight="1">
      <c r="A17" s="192" t="s">
        <v>46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4" t="s">
        <v>35</v>
      </c>
      <c r="N17" s="194"/>
      <c r="O17" s="194"/>
      <c r="P17" s="194" t="s">
        <v>47</v>
      </c>
      <c r="Q17" s="194"/>
      <c r="R17" s="194"/>
      <c r="S17" s="204">
        <f>2250000</f>
      </c>
      <c r="T17" s="204"/>
      <c r="U17" s="204"/>
      <c r="V17" s="204">
        <f>1148921.79</f>
      </c>
      <c r="W17" s="204"/>
      <c r="X17" s="204"/>
      <c r="Y17" s="204"/>
      <c r="Z17" s="204"/>
      <c r="AA17" s="214">
        <f>1101078.21</f>
      </c>
      <c r="AB17" s="214"/>
      <c r="AC17" s="214"/>
    </row>
    <row r="18" spans="1:29" s="1" customFormat="1" ht="66" customHeight="1">
      <c r="A18" s="192" t="s">
        <v>48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4" t="s">
        <v>35</v>
      </c>
      <c r="N18" s="194"/>
      <c r="O18" s="194"/>
      <c r="P18" s="194" t="s">
        <v>49</v>
      </c>
      <c r="Q18" s="194"/>
      <c r="R18" s="194"/>
      <c r="S18" s="222" t="s">
        <v>45</v>
      </c>
      <c r="T18" s="222"/>
      <c r="U18" s="222"/>
      <c r="V18" s="204">
        <f>22.6</f>
      </c>
      <c r="W18" s="204"/>
      <c r="X18" s="204"/>
      <c r="Y18" s="204"/>
      <c r="Z18" s="204"/>
      <c r="AA18" s="230" t="s">
        <v>45</v>
      </c>
      <c r="AB18" s="230"/>
      <c r="AC18" s="230"/>
    </row>
    <row r="19" spans="1:29" s="1" customFormat="1" ht="24" customHeight="1">
      <c r="A19" s="192" t="s">
        <v>50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4" t="s">
        <v>35</v>
      </c>
      <c r="N19" s="194"/>
      <c r="O19" s="194"/>
      <c r="P19" s="194" t="s">
        <v>51</v>
      </c>
      <c r="Q19" s="194"/>
      <c r="R19" s="194"/>
      <c r="S19" s="222" t="s">
        <v>45</v>
      </c>
      <c r="T19" s="222"/>
      <c r="U19" s="222"/>
      <c r="V19" s="204">
        <f>8.5</f>
      </c>
      <c r="W19" s="204"/>
      <c r="X19" s="204"/>
      <c r="Y19" s="204"/>
      <c r="Z19" s="204"/>
      <c r="AA19" s="230" t="s">
        <v>45</v>
      </c>
      <c r="AB19" s="230"/>
      <c r="AC19" s="230"/>
    </row>
    <row r="20" spans="1:29" s="1" customFormat="1" ht="24" customHeight="1">
      <c r="A20" s="192" t="s">
        <v>52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4" t="s">
        <v>35</v>
      </c>
      <c r="N20" s="194"/>
      <c r="O20" s="194"/>
      <c r="P20" s="194" t="s">
        <v>53</v>
      </c>
      <c r="Q20" s="194"/>
      <c r="R20" s="194"/>
      <c r="S20" s="204">
        <f>76000</f>
      </c>
      <c r="T20" s="204"/>
      <c r="U20" s="204"/>
      <c r="V20" s="204">
        <f>19089.45</f>
      </c>
      <c r="W20" s="204"/>
      <c r="X20" s="204"/>
      <c r="Y20" s="204"/>
      <c r="Z20" s="204"/>
      <c r="AA20" s="214">
        <f>56910.55</f>
      </c>
      <c r="AB20" s="214"/>
      <c r="AC20" s="214"/>
    </row>
    <row r="21" spans="1:29" s="1" customFormat="1" ht="24" customHeight="1">
      <c r="A21" s="192" t="s">
        <v>54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4" t="s">
        <v>35</v>
      </c>
      <c r="N21" s="194"/>
      <c r="O21" s="194"/>
      <c r="P21" s="194" t="s">
        <v>55</v>
      </c>
      <c r="Q21" s="194"/>
      <c r="R21" s="194"/>
      <c r="S21" s="204">
        <f>180000</f>
      </c>
      <c r="T21" s="204"/>
      <c r="U21" s="204"/>
      <c r="V21" s="204">
        <f>78791</f>
      </c>
      <c r="W21" s="204"/>
      <c r="X21" s="204"/>
      <c r="Y21" s="204"/>
      <c r="Z21" s="204"/>
      <c r="AA21" s="214">
        <f>101209</f>
      </c>
      <c r="AB21" s="214"/>
      <c r="AC21" s="214"/>
    </row>
    <row r="22" spans="1:29" s="1" customFormat="1" ht="24" customHeight="1">
      <c r="A22" s="192" t="s">
        <v>56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4" t="s">
        <v>35</v>
      </c>
      <c r="N22" s="194"/>
      <c r="O22" s="194"/>
      <c r="P22" s="194" t="s">
        <v>57</v>
      </c>
      <c r="Q22" s="194"/>
      <c r="R22" s="194"/>
      <c r="S22" s="204">
        <f>42000</f>
      </c>
      <c r="T22" s="204"/>
      <c r="U22" s="204"/>
      <c r="V22" s="204">
        <f>6485.23</f>
      </c>
      <c r="W22" s="204"/>
      <c r="X22" s="204"/>
      <c r="Y22" s="204"/>
      <c r="Z22" s="204"/>
      <c r="AA22" s="214">
        <f>35514.77</f>
      </c>
      <c r="AB22" s="214"/>
      <c r="AC22" s="214"/>
    </row>
    <row r="23" spans="1:29" s="1" customFormat="1" ht="45" customHeight="1">
      <c r="A23" s="192" t="s">
        <v>58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4" t="s">
        <v>35</v>
      </c>
      <c r="N23" s="194"/>
      <c r="O23" s="194"/>
      <c r="P23" s="194" t="s">
        <v>59</v>
      </c>
      <c r="Q23" s="194"/>
      <c r="R23" s="194"/>
      <c r="S23" s="204">
        <f>56400</f>
      </c>
      <c r="T23" s="204"/>
      <c r="U23" s="204"/>
      <c r="V23" s="204">
        <f>4400</f>
      </c>
      <c r="W23" s="204"/>
      <c r="X23" s="204"/>
      <c r="Y23" s="204"/>
      <c r="Z23" s="204"/>
      <c r="AA23" s="214">
        <f>52000</f>
      </c>
      <c r="AB23" s="214"/>
      <c r="AC23" s="214"/>
    </row>
    <row r="24" spans="1:29" s="1" customFormat="1" ht="33.75" customHeight="1">
      <c r="A24" s="192" t="s">
        <v>60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4" t="s">
        <v>35</v>
      </c>
      <c r="N24" s="194"/>
      <c r="O24" s="194"/>
      <c r="P24" s="194" t="s">
        <v>61</v>
      </c>
      <c r="Q24" s="194"/>
      <c r="R24" s="194"/>
      <c r="S24" s="222" t="s">
        <v>45</v>
      </c>
      <c r="T24" s="222"/>
      <c r="U24" s="222"/>
      <c r="V24" s="204">
        <f>171000</f>
      </c>
      <c r="W24" s="204"/>
      <c r="X24" s="204"/>
      <c r="Y24" s="204"/>
      <c r="Z24" s="204"/>
      <c r="AA24" s="230" t="s">
        <v>45</v>
      </c>
      <c r="AB24" s="230"/>
      <c r="AC24" s="230"/>
    </row>
    <row r="25" spans="1:29" s="1" customFormat="1" ht="24" customHeight="1">
      <c r="A25" s="192" t="s">
        <v>62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4" t="s">
        <v>35</v>
      </c>
      <c r="N25" s="194"/>
      <c r="O25" s="194"/>
      <c r="P25" s="194" t="s">
        <v>63</v>
      </c>
      <c r="Q25" s="194"/>
      <c r="R25" s="194"/>
      <c r="S25" s="204">
        <f>20000</f>
      </c>
      <c r="T25" s="204"/>
      <c r="U25" s="204"/>
      <c r="V25" s="204">
        <f>2052</f>
      </c>
      <c r="W25" s="204"/>
      <c r="X25" s="204"/>
      <c r="Y25" s="204"/>
      <c r="Z25" s="204"/>
      <c r="AA25" s="214">
        <f>17948</f>
      </c>
      <c r="AB25" s="214"/>
      <c r="AC25" s="214"/>
    </row>
    <row r="26" spans="1:29" s="1" customFormat="1" ht="33.75" customHeight="1">
      <c r="A26" s="192" t="s">
        <v>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4" t="s">
        <v>35</v>
      </c>
      <c r="N26" s="194"/>
      <c r="O26" s="194"/>
      <c r="P26" s="194" t="s">
        <v>65</v>
      </c>
      <c r="Q26" s="194"/>
      <c r="R26" s="194"/>
      <c r="S26" s="204">
        <f>274200</f>
      </c>
      <c r="T26" s="204"/>
      <c r="U26" s="204"/>
      <c r="V26" s="222" t="s">
        <v>45</v>
      </c>
      <c r="W26" s="222"/>
      <c r="X26" s="222"/>
      <c r="Y26" s="222"/>
      <c r="Z26" s="222"/>
      <c r="AA26" s="214">
        <f>274200</f>
      </c>
      <c r="AB26" s="214"/>
      <c r="AC26" s="214"/>
    </row>
    <row r="27" spans="1:29" s="1" customFormat="1" ht="45" customHeight="1">
      <c r="A27" s="192" t="s">
        <v>66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4" t="s">
        <v>35</v>
      </c>
      <c r="N27" s="194"/>
      <c r="O27" s="194"/>
      <c r="P27" s="194" t="s">
        <v>67</v>
      </c>
      <c r="Q27" s="194"/>
      <c r="R27" s="194"/>
      <c r="S27" s="204">
        <f>60000</f>
      </c>
      <c r="T27" s="204"/>
      <c r="U27" s="204"/>
      <c r="V27" s="204">
        <f>54560.73</f>
      </c>
      <c r="W27" s="204"/>
      <c r="X27" s="204"/>
      <c r="Y27" s="204"/>
      <c r="Z27" s="204"/>
      <c r="AA27" s="214">
        <f>5439.27</f>
      </c>
      <c r="AB27" s="214"/>
      <c r="AC27" s="214"/>
    </row>
    <row r="28" spans="1:29" s="1" customFormat="1" ht="24" customHeight="1">
      <c r="A28" s="192" t="s">
        <v>68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4" t="s">
        <v>35</v>
      </c>
      <c r="N28" s="194"/>
      <c r="O28" s="194"/>
      <c r="P28" s="194" t="s">
        <v>69</v>
      </c>
      <c r="Q28" s="194"/>
      <c r="R28" s="194"/>
      <c r="S28" s="204">
        <f>100000</f>
      </c>
      <c r="T28" s="204"/>
      <c r="U28" s="204"/>
      <c r="V28" s="204">
        <f>25000</f>
      </c>
      <c r="W28" s="204"/>
      <c r="X28" s="204"/>
      <c r="Y28" s="204"/>
      <c r="Z28" s="204"/>
      <c r="AA28" s="214">
        <f>75000</f>
      </c>
      <c r="AB28" s="214"/>
      <c r="AC28" s="214"/>
    </row>
    <row r="29" spans="1:29" s="1" customFormat="1" ht="54.75" customHeight="1">
      <c r="A29" s="192" t="s">
        <v>70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4" t="s">
        <v>35</v>
      </c>
      <c r="N29" s="194"/>
      <c r="O29" s="194"/>
      <c r="P29" s="194" t="s">
        <v>71</v>
      </c>
      <c r="Q29" s="194"/>
      <c r="R29" s="194"/>
      <c r="S29" s="204">
        <f>171000</f>
      </c>
      <c r="T29" s="204"/>
      <c r="U29" s="204"/>
      <c r="V29" s="222" t="s">
        <v>45</v>
      </c>
      <c r="W29" s="222"/>
      <c r="X29" s="222"/>
      <c r="Y29" s="222"/>
      <c r="Z29" s="222"/>
      <c r="AA29" s="214">
        <f>171000</f>
      </c>
      <c r="AB29" s="214"/>
      <c r="AC29" s="214"/>
    </row>
    <row r="30" spans="1:29" s="1" customFormat="1" ht="13.5" customHeight="1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4" t="s">
        <v>35</v>
      </c>
      <c r="N30" s="194"/>
      <c r="O30" s="194"/>
      <c r="P30" s="194" t="s">
        <v>73</v>
      </c>
      <c r="Q30" s="194"/>
      <c r="R30" s="194"/>
      <c r="S30" s="222" t="s">
        <v>45</v>
      </c>
      <c r="T30" s="222"/>
      <c r="U30" s="222"/>
      <c r="V30" s="204">
        <f>22521.93</f>
      </c>
      <c r="W30" s="204"/>
      <c r="X30" s="204"/>
      <c r="Y30" s="204"/>
      <c r="Z30" s="204"/>
      <c r="AA30" s="230" t="s">
        <v>45</v>
      </c>
      <c r="AB30" s="230"/>
      <c r="AC30" s="230"/>
    </row>
    <row r="31" spans="1:29" s="1" customFormat="1" ht="24" customHeight="1">
      <c r="A31" s="192" t="s">
        <v>74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4" t="s">
        <v>35</v>
      </c>
      <c r="N31" s="194"/>
      <c r="O31" s="194"/>
      <c r="P31" s="194" t="s">
        <v>75</v>
      </c>
      <c r="Q31" s="194"/>
      <c r="R31" s="194"/>
      <c r="S31" s="204">
        <f>18303100</f>
      </c>
      <c r="T31" s="204"/>
      <c r="U31" s="204"/>
      <c r="V31" s="204">
        <f>7349162.62</f>
      </c>
      <c r="W31" s="204"/>
      <c r="X31" s="204"/>
      <c r="Y31" s="204"/>
      <c r="Z31" s="204"/>
      <c r="AA31" s="214">
        <f>10953937.38</f>
      </c>
      <c r="AB31" s="214"/>
      <c r="AC31" s="214"/>
    </row>
    <row r="32" spans="1:29" s="1" customFormat="1" ht="24" customHeight="1">
      <c r="A32" s="192" t="s">
        <v>76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4" t="s">
        <v>35</v>
      </c>
      <c r="N32" s="194"/>
      <c r="O32" s="194"/>
      <c r="P32" s="194" t="s">
        <v>77</v>
      </c>
      <c r="Q32" s="194"/>
      <c r="R32" s="194"/>
      <c r="S32" s="204">
        <f>23977043</f>
      </c>
      <c r="T32" s="204"/>
      <c r="U32" s="204"/>
      <c r="V32" s="204">
        <f>9590817.2</f>
      </c>
      <c r="W32" s="204"/>
      <c r="X32" s="204"/>
      <c r="Y32" s="204"/>
      <c r="Z32" s="204"/>
      <c r="AA32" s="214">
        <f>14386225.8</f>
      </c>
      <c r="AB32" s="214"/>
      <c r="AC32" s="214"/>
    </row>
    <row r="33" spans="1:29" s="1" customFormat="1" ht="24" customHeight="1">
      <c r="A33" s="192" t="s">
        <v>78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4" t="s">
        <v>35</v>
      </c>
      <c r="N33" s="194"/>
      <c r="O33" s="194"/>
      <c r="P33" s="194" t="s">
        <v>79</v>
      </c>
      <c r="Q33" s="194"/>
      <c r="R33" s="194"/>
      <c r="S33" s="204">
        <f>394000</f>
      </c>
      <c r="T33" s="204"/>
      <c r="U33" s="204"/>
      <c r="V33" s="204">
        <f>95970.53</f>
      </c>
      <c r="W33" s="204"/>
      <c r="X33" s="204"/>
      <c r="Y33" s="204"/>
      <c r="Z33" s="204"/>
      <c r="AA33" s="214">
        <f>298029.47</f>
      </c>
      <c r="AB33" s="214"/>
      <c r="AC33" s="214"/>
    </row>
    <row r="34" spans="1:29" s="1" customFormat="1" ht="24" customHeight="1">
      <c r="A34" s="192" t="s">
        <v>80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4" t="s">
        <v>35</v>
      </c>
      <c r="N34" s="194"/>
      <c r="O34" s="194"/>
      <c r="P34" s="194" t="s">
        <v>81</v>
      </c>
      <c r="Q34" s="194"/>
      <c r="R34" s="194"/>
      <c r="S34" s="204">
        <f>48000</f>
      </c>
      <c r="T34" s="204"/>
      <c r="U34" s="204"/>
      <c r="V34" s="204">
        <f>16178.14</f>
      </c>
      <c r="W34" s="204"/>
      <c r="X34" s="204"/>
      <c r="Y34" s="204"/>
      <c r="Z34" s="204"/>
      <c r="AA34" s="214">
        <f>31821.86</f>
      </c>
      <c r="AB34" s="214"/>
      <c r="AC34" s="214"/>
    </row>
    <row r="35" spans="1:29" s="1" customFormat="1" ht="24" customHeight="1">
      <c r="A35" s="192" t="s">
        <v>82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4" t="s">
        <v>35</v>
      </c>
      <c r="N35" s="194"/>
      <c r="O35" s="194"/>
      <c r="P35" s="194" t="s">
        <v>83</v>
      </c>
      <c r="Q35" s="194"/>
      <c r="R35" s="194"/>
      <c r="S35" s="204">
        <f>5018251.54</f>
      </c>
      <c r="T35" s="204"/>
      <c r="U35" s="204"/>
      <c r="V35" s="204">
        <f>245628.3</f>
      </c>
      <c r="W35" s="204"/>
      <c r="X35" s="204"/>
      <c r="Y35" s="204"/>
      <c r="Z35" s="204"/>
      <c r="AA35" s="214">
        <f>4772623.24</f>
      </c>
      <c r="AB35" s="214"/>
      <c r="AC35" s="214"/>
    </row>
    <row r="36" spans="1:29" s="1" customFormat="1" ht="13.5" customHeight="1">
      <c r="A36" s="239" t="s">
        <v>10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</row>
    <row r="37" spans="1:29" s="1" customFormat="1" ht="13.5" customHeight="1">
      <c r="A37" s="90" t="s">
        <v>84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29" s="1" customFormat="1" ht="34.5" customHeight="1">
      <c r="A38" s="102" t="s">
        <v>22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 t="s">
        <v>23</v>
      </c>
      <c r="M38" s="102"/>
      <c r="N38" s="102"/>
      <c r="O38" s="102" t="s">
        <v>85</v>
      </c>
      <c r="P38" s="102"/>
      <c r="Q38" s="102"/>
      <c r="R38" s="114" t="s">
        <v>86</v>
      </c>
      <c r="S38" s="114"/>
      <c r="T38" s="114" t="s">
        <v>25</v>
      </c>
      <c r="U38" s="114"/>
      <c r="V38" s="114"/>
      <c r="W38" s="114" t="s">
        <v>26</v>
      </c>
      <c r="X38" s="114"/>
      <c r="Y38" s="114"/>
      <c r="Z38" s="114"/>
      <c r="AA38" s="114"/>
      <c r="AB38" s="125" t="s">
        <v>27</v>
      </c>
      <c r="AC38" s="125"/>
    </row>
    <row r="39" spans="1:29" s="1" customFormat="1" ht="13.5" customHeight="1">
      <c r="A39" s="135" t="s">
        <v>28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 t="s">
        <v>29</v>
      </c>
      <c r="M39" s="135"/>
      <c r="N39" s="135"/>
      <c r="O39" s="135" t="s">
        <v>30</v>
      </c>
      <c r="P39" s="135"/>
      <c r="Q39" s="135"/>
      <c r="R39" s="145" t="s">
        <v>31</v>
      </c>
      <c r="S39" s="145"/>
      <c r="T39" s="145" t="s">
        <v>32</v>
      </c>
      <c r="U39" s="145"/>
      <c r="V39" s="145"/>
      <c r="W39" s="145" t="s">
        <v>33</v>
      </c>
      <c r="X39" s="145"/>
      <c r="Y39" s="145"/>
      <c r="Z39" s="145"/>
      <c r="AA39" s="145"/>
      <c r="AB39" s="155" t="s">
        <v>87</v>
      </c>
      <c r="AC39" s="155"/>
    </row>
    <row r="40" spans="1:29" s="1" customFormat="1" ht="13.5" customHeight="1">
      <c r="A40" s="163" t="s">
        <v>88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5" t="s">
        <v>89</v>
      </c>
      <c r="M40" s="165"/>
      <c r="N40" s="165"/>
      <c r="O40" s="165" t="s">
        <v>36</v>
      </c>
      <c r="P40" s="165"/>
      <c r="Q40" s="165"/>
      <c r="R40" s="247" t="s">
        <v>36</v>
      </c>
      <c r="S40" s="247"/>
      <c r="T40" s="174">
        <f>56777577.43</f>
      </c>
      <c r="U40" s="174"/>
      <c r="V40" s="174"/>
      <c r="W40" s="174">
        <f>19989493.74</f>
      </c>
      <c r="X40" s="174"/>
      <c r="Y40" s="174"/>
      <c r="Z40" s="174"/>
      <c r="AA40" s="174"/>
      <c r="AB40" s="183">
        <f>36788083.69</f>
      </c>
      <c r="AC40" s="183"/>
    </row>
    <row r="41" spans="1:29" s="1" customFormat="1" ht="13.5" customHeight="1">
      <c r="A41" s="256" t="s">
        <v>90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8" t="s">
        <v>89</v>
      </c>
      <c r="M41" s="258"/>
      <c r="N41" s="258"/>
      <c r="O41" s="258" t="s">
        <v>91</v>
      </c>
      <c r="P41" s="258"/>
      <c r="Q41" s="258"/>
      <c r="R41" s="267" t="s">
        <v>92</v>
      </c>
      <c r="S41" s="267"/>
      <c r="T41" s="276">
        <f>1405000</f>
      </c>
      <c r="U41" s="276"/>
      <c r="V41" s="276"/>
      <c r="W41" s="276">
        <f>527221.23</f>
      </c>
      <c r="X41" s="276"/>
      <c r="Y41" s="276"/>
      <c r="Z41" s="276"/>
      <c r="AA41" s="276"/>
      <c r="AB41" s="286">
        <f>877778.77</f>
      </c>
      <c r="AC41" s="286"/>
    </row>
    <row r="42" spans="1:29" s="1" customFormat="1" ht="13.5" customHeight="1">
      <c r="A42" s="256" t="s">
        <v>93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8" t="s">
        <v>89</v>
      </c>
      <c r="M42" s="258"/>
      <c r="N42" s="258"/>
      <c r="O42" s="258" t="s">
        <v>94</v>
      </c>
      <c r="P42" s="258"/>
      <c r="Q42" s="258"/>
      <c r="R42" s="267" t="s">
        <v>95</v>
      </c>
      <c r="S42" s="267"/>
      <c r="T42" s="276">
        <f>349000</f>
      </c>
      <c r="U42" s="276"/>
      <c r="V42" s="276"/>
      <c r="W42" s="276">
        <f>149211.53</f>
      </c>
      <c r="X42" s="276"/>
      <c r="Y42" s="276"/>
      <c r="Z42" s="276"/>
      <c r="AA42" s="276"/>
      <c r="AB42" s="286">
        <f>199788.47</f>
      </c>
      <c r="AC42" s="286"/>
    </row>
    <row r="43" spans="1:29" s="1" customFormat="1" ht="13.5" customHeight="1">
      <c r="A43" s="256" t="s">
        <v>90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8" t="s">
        <v>89</v>
      </c>
      <c r="M43" s="258"/>
      <c r="N43" s="258"/>
      <c r="O43" s="258" t="s">
        <v>96</v>
      </c>
      <c r="P43" s="258"/>
      <c r="Q43" s="258"/>
      <c r="R43" s="267" t="s">
        <v>92</v>
      </c>
      <c r="S43" s="267"/>
      <c r="T43" s="276">
        <f>1900000</f>
      </c>
      <c r="U43" s="276"/>
      <c r="V43" s="276"/>
      <c r="W43" s="276">
        <f>1020872.51</f>
      </c>
      <c r="X43" s="276"/>
      <c r="Y43" s="276"/>
      <c r="Z43" s="276"/>
      <c r="AA43" s="276"/>
      <c r="AB43" s="286">
        <f>879127.49</f>
      </c>
      <c r="AC43" s="286"/>
    </row>
    <row r="44" spans="1:29" s="1" customFormat="1" ht="13.5" customHeight="1">
      <c r="A44" s="256" t="s">
        <v>93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8" t="s">
        <v>89</v>
      </c>
      <c r="M44" s="258"/>
      <c r="N44" s="258"/>
      <c r="O44" s="258" t="s">
        <v>97</v>
      </c>
      <c r="P44" s="258"/>
      <c r="Q44" s="258"/>
      <c r="R44" s="267" t="s">
        <v>95</v>
      </c>
      <c r="S44" s="267"/>
      <c r="T44" s="276">
        <f>403700</f>
      </c>
      <c r="U44" s="276"/>
      <c r="V44" s="276"/>
      <c r="W44" s="276">
        <f>299860.38</f>
      </c>
      <c r="X44" s="276"/>
      <c r="Y44" s="276"/>
      <c r="Z44" s="276"/>
      <c r="AA44" s="276"/>
      <c r="AB44" s="286">
        <f>103839.62</f>
      </c>
      <c r="AC44" s="286"/>
    </row>
    <row r="45" spans="1:29" s="1" customFormat="1" ht="13.5" customHeight="1">
      <c r="A45" s="256" t="s">
        <v>90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8" t="s">
        <v>89</v>
      </c>
      <c r="M45" s="258"/>
      <c r="N45" s="258"/>
      <c r="O45" s="258" t="s">
        <v>98</v>
      </c>
      <c r="P45" s="258"/>
      <c r="Q45" s="258"/>
      <c r="R45" s="267" t="s">
        <v>92</v>
      </c>
      <c r="S45" s="267"/>
      <c r="T45" s="276">
        <f>7370000</f>
      </c>
      <c r="U45" s="276"/>
      <c r="V45" s="276"/>
      <c r="W45" s="276">
        <f>3172650.17</f>
      </c>
      <c r="X45" s="276"/>
      <c r="Y45" s="276"/>
      <c r="Z45" s="276"/>
      <c r="AA45" s="276"/>
      <c r="AB45" s="286">
        <f>4197349.83</f>
      </c>
      <c r="AC45" s="286"/>
    </row>
    <row r="46" spans="1:29" s="1" customFormat="1" ht="13.5" customHeight="1">
      <c r="A46" s="256" t="s">
        <v>93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8" t="s">
        <v>89</v>
      </c>
      <c r="M46" s="258"/>
      <c r="N46" s="258"/>
      <c r="O46" s="258" t="s">
        <v>99</v>
      </c>
      <c r="P46" s="258"/>
      <c r="Q46" s="258"/>
      <c r="R46" s="267" t="s">
        <v>95</v>
      </c>
      <c r="S46" s="267"/>
      <c r="T46" s="276">
        <f>1909800</f>
      </c>
      <c r="U46" s="276"/>
      <c r="V46" s="276"/>
      <c r="W46" s="276">
        <f>896452.58</f>
      </c>
      <c r="X46" s="276"/>
      <c r="Y46" s="276"/>
      <c r="Z46" s="276"/>
      <c r="AA46" s="276"/>
      <c r="AB46" s="286">
        <f>1013347.42</f>
      </c>
      <c r="AC46" s="286"/>
    </row>
    <row r="47" spans="1:29" s="1" customFormat="1" ht="13.5" customHeight="1">
      <c r="A47" s="256" t="s">
        <v>100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8" t="s">
        <v>89</v>
      </c>
      <c r="M47" s="258"/>
      <c r="N47" s="258"/>
      <c r="O47" s="258" t="s">
        <v>101</v>
      </c>
      <c r="P47" s="258"/>
      <c r="Q47" s="258"/>
      <c r="R47" s="267" t="s">
        <v>102</v>
      </c>
      <c r="S47" s="267"/>
      <c r="T47" s="276">
        <f>981500</f>
      </c>
      <c r="U47" s="276"/>
      <c r="V47" s="276"/>
      <c r="W47" s="288" t="s">
        <v>45</v>
      </c>
      <c r="X47" s="288"/>
      <c r="Y47" s="288"/>
      <c r="Z47" s="288"/>
      <c r="AA47" s="288"/>
      <c r="AB47" s="286">
        <f>981500</f>
      </c>
      <c r="AC47" s="286"/>
    </row>
    <row r="48" spans="1:29" s="1" customFormat="1" ht="13.5" customHeight="1">
      <c r="A48" s="256" t="s">
        <v>100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8" t="s">
        <v>89</v>
      </c>
      <c r="M48" s="258"/>
      <c r="N48" s="258"/>
      <c r="O48" s="258" t="s">
        <v>103</v>
      </c>
      <c r="P48" s="258"/>
      <c r="Q48" s="258"/>
      <c r="R48" s="267" t="s">
        <v>102</v>
      </c>
      <c r="S48" s="267"/>
      <c r="T48" s="276">
        <f>106000</f>
      </c>
      <c r="U48" s="276"/>
      <c r="V48" s="276"/>
      <c r="W48" s="288" t="s">
        <v>45</v>
      </c>
      <c r="X48" s="288"/>
      <c r="Y48" s="288"/>
      <c r="Z48" s="288"/>
      <c r="AA48" s="288"/>
      <c r="AB48" s="286">
        <f>106000</f>
      </c>
      <c r="AC48" s="286"/>
    </row>
    <row r="49" spans="1:29" s="1" customFormat="1" ht="13.5" customHeight="1">
      <c r="A49" s="256" t="s">
        <v>104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8" t="s">
        <v>89</v>
      </c>
      <c r="M49" s="258"/>
      <c r="N49" s="258"/>
      <c r="O49" s="258" t="s">
        <v>105</v>
      </c>
      <c r="P49" s="258"/>
      <c r="Q49" s="258"/>
      <c r="R49" s="267" t="s">
        <v>106</v>
      </c>
      <c r="S49" s="267"/>
      <c r="T49" s="276">
        <f>399000</f>
      </c>
      <c r="U49" s="276"/>
      <c r="V49" s="276"/>
      <c r="W49" s="276">
        <f>216826.35</f>
      </c>
      <c r="X49" s="276"/>
      <c r="Y49" s="276"/>
      <c r="Z49" s="276"/>
      <c r="AA49" s="276"/>
      <c r="AB49" s="286">
        <f>182173.65</f>
      </c>
      <c r="AC49" s="286"/>
    </row>
    <row r="50" spans="1:29" s="1" customFormat="1" ht="13.5" customHeight="1">
      <c r="A50" s="256" t="s">
        <v>107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8" t="s">
        <v>89</v>
      </c>
      <c r="M50" s="258"/>
      <c r="N50" s="258"/>
      <c r="O50" s="258" t="s">
        <v>108</v>
      </c>
      <c r="P50" s="258"/>
      <c r="Q50" s="258"/>
      <c r="R50" s="267" t="s">
        <v>109</v>
      </c>
      <c r="S50" s="267"/>
      <c r="T50" s="276">
        <f>20000</f>
      </c>
      <c r="U50" s="276"/>
      <c r="V50" s="276"/>
      <c r="W50" s="288" t="s">
        <v>45</v>
      </c>
      <c r="X50" s="288"/>
      <c r="Y50" s="288"/>
      <c r="Z50" s="288"/>
      <c r="AA50" s="288"/>
      <c r="AB50" s="286">
        <f>20000</f>
      </c>
      <c r="AC50" s="286"/>
    </row>
    <row r="51" spans="1:29" s="1" customFormat="1" ht="13.5" customHeight="1">
      <c r="A51" s="256" t="s">
        <v>107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8" t="s">
        <v>89</v>
      </c>
      <c r="M51" s="258"/>
      <c r="N51" s="258"/>
      <c r="O51" s="258" t="s">
        <v>110</v>
      </c>
      <c r="P51" s="258"/>
      <c r="Q51" s="258"/>
      <c r="R51" s="267" t="s">
        <v>109</v>
      </c>
      <c r="S51" s="267"/>
      <c r="T51" s="276">
        <f>20000</f>
      </c>
      <c r="U51" s="276"/>
      <c r="V51" s="276"/>
      <c r="W51" s="276">
        <f>5134</f>
      </c>
      <c r="X51" s="276"/>
      <c r="Y51" s="276"/>
      <c r="Z51" s="276"/>
      <c r="AA51" s="276"/>
      <c r="AB51" s="286">
        <f>14866</f>
      </c>
      <c r="AC51" s="286"/>
    </row>
    <row r="52" spans="1:29" s="1" customFormat="1" ht="24" customHeight="1">
      <c r="A52" s="256" t="s">
        <v>111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8" t="s">
        <v>89</v>
      </c>
      <c r="M52" s="258"/>
      <c r="N52" s="258"/>
      <c r="O52" s="258" t="s">
        <v>112</v>
      </c>
      <c r="P52" s="258"/>
      <c r="Q52" s="258"/>
      <c r="R52" s="267" t="s">
        <v>113</v>
      </c>
      <c r="S52" s="267"/>
      <c r="T52" s="276">
        <f>20000</f>
      </c>
      <c r="U52" s="276"/>
      <c r="V52" s="276"/>
      <c r="W52" s="276">
        <f>2611.32</f>
      </c>
      <c r="X52" s="276"/>
      <c r="Y52" s="276"/>
      <c r="Z52" s="276"/>
      <c r="AA52" s="276"/>
      <c r="AB52" s="286">
        <f>17388.68</f>
      </c>
      <c r="AC52" s="286"/>
    </row>
    <row r="53" spans="1:29" s="1" customFormat="1" ht="13.5" customHeight="1">
      <c r="A53" s="256" t="s">
        <v>100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8" t="s">
        <v>89</v>
      </c>
      <c r="M53" s="258"/>
      <c r="N53" s="258"/>
      <c r="O53" s="258" t="s">
        <v>112</v>
      </c>
      <c r="P53" s="258"/>
      <c r="Q53" s="258"/>
      <c r="R53" s="267" t="s">
        <v>102</v>
      </c>
      <c r="S53" s="267"/>
      <c r="T53" s="276">
        <f>15000</f>
      </c>
      <c r="U53" s="276"/>
      <c r="V53" s="276"/>
      <c r="W53" s="276">
        <f>15000</f>
      </c>
      <c r="X53" s="276"/>
      <c r="Y53" s="276"/>
      <c r="Z53" s="276"/>
      <c r="AA53" s="276"/>
      <c r="AB53" s="286">
        <f>0</f>
      </c>
      <c r="AC53" s="286"/>
    </row>
    <row r="54" spans="1:29" s="1" customFormat="1" ht="13.5" customHeight="1">
      <c r="A54" s="256" t="s">
        <v>114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8" t="s">
        <v>89</v>
      </c>
      <c r="M54" s="258"/>
      <c r="N54" s="258"/>
      <c r="O54" s="258" t="s">
        <v>115</v>
      </c>
      <c r="P54" s="258"/>
      <c r="Q54" s="258"/>
      <c r="R54" s="267" t="s">
        <v>116</v>
      </c>
      <c r="S54" s="267"/>
      <c r="T54" s="276">
        <f>125000</f>
      </c>
      <c r="U54" s="276"/>
      <c r="V54" s="276"/>
      <c r="W54" s="276">
        <f>95813.91</f>
      </c>
      <c r="X54" s="276"/>
      <c r="Y54" s="276"/>
      <c r="Z54" s="276"/>
      <c r="AA54" s="276"/>
      <c r="AB54" s="286">
        <f>29186.09</f>
      </c>
      <c r="AC54" s="286"/>
    </row>
    <row r="55" spans="1:29" s="1" customFormat="1" ht="13.5" customHeight="1">
      <c r="A55" s="256" t="s">
        <v>117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8" t="s">
        <v>89</v>
      </c>
      <c r="M55" s="258"/>
      <c r="N55" s="258"/>
      <c r="O55" s="258" t="s">
        <v>115</v>
      </c>
      <c r="P55" s="258"/>
      <c r="Q55" s="258"/>
      <c r="R55" s="267" t="s">
        <v>118</v>
      </c>
      <c r="S55" s="267"/>
      <c r="T55" s="276">
        <f>12000</f>
      </c>
      <c r="U55" s="276"/>
      <c r="V55" s="276"/>
      <c r="W55" s="288" t="s">
        <v>45</v>
      </c>
      <c r="X55" s="288"/>
      <c r="Y55" s="288"/>
      <c r="Z55" s="288"/>
      <c r="AA55" s="288"/>
      <c r="AB55" s="286">
        <f>12000</f>
      </c>
      <c r="AC55" s="286"/>
    </row>
    <row r="56" spans="1:29" s="1" customFormat="1" ht="13.5" customHeight="1">
      <c r="A56" s="256" t="s">
        <v>119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8" t="s">
        <v>89</v>
      </c>
      <c r="M56" s="258"/>
      <c r="N56" s="258"/>
      <c r="O56" s="258" t="s">
        <v>120</v>
      </c>
      <c r="P56" s="258"/>
      <c r="Q56" s="258"/>
      <c r="R56" s="267" t="s">
        <v>121</v>
      </c>
      <c r="S56" s="267"/>
      <c r="T56" s="276">
        <f>94000</f>
      </c>
      <c r="U56" s="276"/>
      <c r="V56" s="276"/>
      <c r="W56" s="276">
        <f>38732.47</f>
      </c>
      <c r="X56" s="276"/>
      <c r="Y56" s="276"/>
      <c r="Z56" s="276"/>
      <c r="AA56" s="276"/>
      <c r="AB56" s="286">
        <f>55267.53</f>
      </c>
      <c r="AC56" s="286"/>
    </row>
    <row r="57" spans="1:29" s="1" customFormat="1" ht="13.5" customHeight="1">
      <c r="A57" s="256" t="s">
        <v>122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8" t="s">
        <v>89</v>
      </c>
      <c r="M57" s="258"/>
      <c r="N57" s="258"/>
      <c r="O57" s="258" t="s">
        <v>120</v>
      </c>
      <c r="P57" s="258"/>
      <c r="Q57" s="258"/>
      <c r="R57" s="267" t="s">
        <v>123</v>
      </c>
      <c r="S57" s="267"/>
      <c r="T57" s="276">
        <f>800000</f>
      </c>
      <c r="U57" s="276"/>
      <c r="V57" s="276"/>
      <c r="W57" s="276">
        <f>727324.7</f>
      </c>
      <c r="X57" s="276"/>
      <c r="Y57" s="276"/>
      <c r="Z57" s="276"/>
      <c r="AA57" s="276"/>
      <c r="AB57" s="286">
        <f>72675.3</f>
      </c>
      <c r="AC57" s="286"/>
    </row>
    <row r="58" spans="1:29" s="1" customFormat="1" ht="13.5" customHeight="1">
      <c r="A58" s="256" t="s">
        <v>124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8" t="s">
        <v>89</v>
      </c>
      <c r="M58" s="258"/>
      <c r="N58" s="258"/>
      <c r="O58" s="258" t="s">
        <v>120</v>
      </c>
      <c r="P58" s="258"/>
      <c r="Q58" s="258"/>
      <c r="R58" s="267" t="s">
        <v>125</v>
      </c>
      <c r="S58" s="267"/>
      <c r="T58" s="276">
        <f>46000</f>
      </c>
      <c r="U58" s="276"/>
      <c r="V58" s="276"/>
      <c r="W58" s="276">
        <f>21670</f>
      </c>
      <c r="X58" s="276"/>
      <c r="Y58" s="276"/>
      <c r="Z58" s="276"/>
      <c r="AA58" s="276"/>
      <c r="AB58" s="286">
        <f>24330</f>
      </c>
      <c r="AC58" s="286"/>
    </row>
    <row r="59" spans="1:29" s="1" customFormat="1" ht="13.5" customHeight="1">
      <c r="A59" s="256" t="s">
        <v>104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8" t="s">
        <v>89</v>
      </c>
      <c r="M59" s="258"/>
      <c r="N59" s="258"/>
      <c r="O59" s="258" t="s">
        <v>120</v>
      </c>
      <c r="P59" s="258"/>
      <c r="Q59" s="258"/>
      <c r="R59" s="267" t="s">
        <v>106</v>
      </c>
      <c r="S59" s="267"/>
      <c r="T59" s="276">
        <f>135000</f>
      </c>
      <c r="U59" s="276"/>
      <c r="V59" s="276"/>
      <c r="W59" s="276">
        <f>120588.19</f>
      </c>
      <c r="X59" s="276"/>
      <c r="Y59" s="276"/>
      <c r="Z59" s="276"/>
      <c r="AA59" s="276"/>
      <c r="AB59" s="286">
        <f>14411.81</f>
      </c>
      <c r="AC59" s="286"/>
    </row>
    <row r="60" spans="1:29" s="1" customFormat="1" ht="13.5" customHeight="1">
      <c r="A60" s="256" t="s">
        <v>126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8" t="s">
        <v>89</v>
      </c>
      <c r="M60" s="258"/>
      <c r="N60" s="258"/>
      <c r="O60" s="258" t="s">
        <v>120</v>
      </c>
      <c r="P60" s="258"/>
      <c r="Q60" s="258"/>
      <c r="R60" s="267" t="s">
        <v>127</v>
      </c>
      <c r="S60" s="267"/>
      <c r="T60" s="276">
        <f>72693</f>
      </c>
      <c r="U60" s="276"/>
      <c r="V60" s="276"/>
      <c r="W60" s="276">
        <f>72693</f>
      </c>
      <c r="X60" s="276"/>
      <c r="Y60" s="276"/>
      <c r="Z60" s="276"/>
      <c r="AA60" s="276"/>
      <c r="AB60" s="286">
        <f>0</f>
      </c>
      <c r="AC60" s="286"/>
    </row>
    <row r="61" spans="1:29" s="1" customFormat="1" ht="13.5" customHeight="1">
      <c r="A61" s="256" t="s">
        <v>128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8" t="s">
        <v>89</v>
      </c>
      <c r="M61" s="258"/>
      <c r="N61" s="258"/>
      <c r="O61" s="258" t="s">
        <v>120</v>
      </c>
      <c r="P61" s="258"/>
      <c r="Q61" s="258"/>
      <c r="R61" s="267" t="s">
        <v>129</v>
      </c>
      <c r="S61" s="267"/>
      <c r="T61" s="276">
        <f>719233</f>
      </c>
      <c r="U61" s="276"/>
      <c r="V61" s="276"/>
      <c r="W61" s="276">
        <f>580763</f>
      </c>
      <c r="X61" s="276"/>
      <c r="Y61" s="276"/>
      <c r="Z61" s="276"/>
      <c r="AA61" s="276"/>
      <c r="AB61" s="286">
        <f>138470</f>
      </c>
      <c r="AC61" s="286"/>
    </row>
    <row r="62" spans="1:29" s="1" customFormat="1" ht="13.5" customHeight="1">
      <c r="A62" s="256" t="s">
        <v>130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8" t="s">
        <v>89</v>
      </c>
      <c r="M62" s="258"/>
      <c r="N62" s="258"/>
      <c r="O62" s="258" t="s">
        <v>131</v>
      </c>
      <c r="P62" s="258"/>
      <c r="Q62" s="258"/>
      <c r="R62" s="267" t="s">
        <v>132</v>
      </c>
      <c r="S62" s="267"/>
      <c r="T62" s="276">
        <f>37010</f>
      </c>
      <c r="U62" s="276"/>
      <c r="V62" s="276"/>
      <c r="W62" s="288" t="s">
        <v>45</v>
      </c>
      <c r="X62" s="288"/>
      <c r="Y62" s="288"/>
      <c r="Z62" s="288"/>
      <c r="AA62" s="288"/>
      <c r="AB62" s="286">
        <f>37010</f>
      </c>
      <c r="AC62" s="286"/>
    </row>
    <row r="63" spans="1:29" s="1" customFormat="1" ht="13.5" customHeight="1">
      <c r="A63" s="256" t="s">
        <v>90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8" t="s">
        <v>89</v>
      </c>
      <c r="M63" s="258"/>
      <c r="N63" s="258"/>
      <c r="O63" s="258" t="s">
        <v>133</v>
      </c>
      <c r="P63" s="258"/>
      <c r="Q63" s="258"/>
      <c r="R63" s="267" t="s">
        <v>92</v>
      </c>
      <c r="S63" s="267"/>
      <c r="T63" s="276">
        <f>279000</f>
      </c>
      <c r="U63" s="276"/>
      <c r="V63" s="276"/>
      <c r="W63" s="276">
        <f>70533.16</f>
      </c>
      <c r="X63" s="276"/>
      <c r="Y63" s="276"/>
      <c r="Z63" s="276"/>
      <c r="AA63" s="276"/>
      <c r="AB63" s="286">
        <f>208466.84</f>
      </c>
      <c r="AC63" s="286"/>
    </row>
    <row r="64" spans="1:29" s="1" customFormat="1" ht="13.5" customHeight="1">
      <c r="A64" s="256" t="s">
        <v>114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8" t="s">
        <v>89</v>
      </c>
      <c r="M64" s="258"/>
      <c r="N64" s="258"/>
      <c r="O64" s="258" t="s">
        <v>134</v>
      </c>
      <c r="P64" s="258"/>
      <c r="Q64" s="258"/>
      <c r="R64" s="267" t="s">
        <v>116</v>
      </c>
      <c r="S64" s="267"/>
      <c r="T64" s="276">
        <f>15000</f>
      </c>
      <c r="U64" s="276"/>
      <c r="V64" s="276"/>
      <c r="W64" s="276">
        <f>2068</f>
      </c>
      <c r="X64" s="276"/>
      <c r="Y64" s="276"/>
      <c r="Z64" s="276"/>
      <c r="AA64" s="276"/>
      <c r="AB64" s="286">
        <f>12932</f>
      </c>
      <c r="AC64" s="286"/>
    </row>
    <row r="65" spans="1:29" s="1" customFormat="1" ht="13.5" customHeight="1">
      <c r="A65" s="256" t="s">
        <v>93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8" t="s">
        <v>89</v>
      </c>
      <c r="M65" s="258"/>
      <c r="N65" s="258"/>
      <c r="O65" s="258" t="s">
        <v>135</v>
      </c>
      <c r="P65" s="258"/>
      <c r="Q65" s="258"/>
      <c r="R65" s="267" t="s">
        <v>95</v>
      </c>
      <c r="S65" s="267"/>
      <c r="T65" s="276">
        <f>82000</f>
      </c>
      <c r="U65" s="276"/>
      <c r="V65" s="276"/>
      <c r="W65" s="276">
        <f>23369.37</f>
      </c>
      <c r="X65" s="276"/>
      <c r="Y65" s="276"/>
      <c r="Z65" s="276"/>
      <c r="AA65" s="276"/>
      <c r="AB65" s="286">
        <f>58630.63</f>
      </c>
      <c r="AC65" s="286"/>
    </row>
    <row r="66" spans="1:29" s="1" customFormat="1" ht="13.5" customHeight="1">
      <c r="A66" s="256" t="s">
        <v>128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8" t="s">
        <v>89</v>
      </c>
      <c r="M66" s="258"/>
      <c r="N66" s="258"/>
      <c r="O66" s="258" t="s">
        <v>136</v>
      </c>
      <c r="P66" s="258"/>
      <c r="Q66" s="258"/>
      <c r="R66" s="267" t="s">
        <v>129</v>
      </c>
      <c r="S66" s="267"/>
      <c r="T66" s="276">
        <f>18000</f>
      </c>
      <c r="U66" s="276"/>
      <c r="V66" s="276"/>
      <c r="W66" s="288" t="s">
        <v>45</v>
      </c>
      <c r="X66" s="288"/>
      <c r="Y66" s="288"/>
      <c r="Z66" s="288"/>
      <c r="AA66" s="288"/>
      <c r="AB66" s="286">
        <f>18000</f>
      </c>
      <c r="AC66" s="286"/>
    </row>
    <row r="67" spans="1:29" s="1" customFormat="1" ht="13.5" customHeight="1">
      <c r="A67" s="256" t="s">
        <v>90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8" t="s">
        <v>89</v>
      </c>
      <c r="M67" s="258"/>
      <c r="N67" s="258"/>
      <c r="O67" s="258" t="s">
        <v>137</v>
      </c>
      <c r="P67" s="258"/>
      <c r="Q67" s="258"/>
      <c r="R67" s="267" t="s">
        <v>92</v>
      </c>
      <c r="S67" s="267"/>
      <c r="T67" s="276">
        <f>36866.36</f>
      </c>
      <c r="U67" s="276"/>
      <c r="V67" s="276"/>
      <c r="W67" s="276">
        <f>12288.8</f>
      </c>
      <c r="X67" s="276"/>
      <c r="Y67" s="276"/>
      <c r="Z67" s="276"/>
      <c r="AA67" s="276"/>
      <c r="AB67" s="286">
        <f>24577.56</f>
      </c>
      <c r="AC67" s="286"/>
    </row>
    <row r="68" spans="1:29" s="1" customFormat="1" ht="13.5" customHeight="1">
      <c r="A68" s="256" t="s">
        <v>93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8" t="s">
        <v>89</v>
      </c>
      <c r="M68" s="258"/>
      <c r="N68" s="258"/>
      <c r="O68" s="258" t="s">
        <v>138</v>
      </c>
      <c r="P68" s="258"/>
      <c r="Q68" s="258"/>
      <c r="R68" s="267" t="s">
        <v>95</v>
      </c>
      <c r="S68" s="267"/>
      <c r="T68" s="276">
        <f>11133.64</f>
      </c>
      <c r="U68" s="276"/>
      <c r="V68" s="276"/>
      <c r="W68" s="276">
        <f>3800.25</f>
      </c>
      <c r="X68" s="276"/>
      <c r="Y68" s="276"/>
      <c r="Z68" s="276"/>
      <c r="AA68" s="276"/>
      <c r="AB68" s="286">
        <f>7333.39</f>
      </c>
      <c r="AC68" s="286"/>
    </row>
    <row r="69" spans="1:29" s="1" customFormat="1" ht="13.5" customHeight="1">
      <c r="A69" s="256" t="s">
        <v>128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8" t="s">
        <v>89</v>
      </c>
      <c r="M69" s="258"/>
      <c r="N69" s="258"/>
      <c r="O69" s="258" t="s">
        <v>139</v>
      </c>
      <c r="P69" s="258"/>
      <c r="Q69" s="258"/>
      <c r="R69" s="267" t="s">
        <v>129</v>
      </c>
      <c r="S69" s="267"/>
      <c r="T69" s="276">
        <f>31500</f>
      </c>
      <c r="U69" s="276"/>
      <c r="V69" s="276"/>
      <c r="W69" s="276">
        <f>31500</f>
      </c>
      <c r="X69" s="276"/>
      <c r="Y69" s="276"/>
      <c r="Z69" s="276"/>
      <c r="AA69" s="276"/>
      <c r="AB69" s="286">
        <f>0</f>
      </c>
      <c r="AC69" s="286"/>
    </row>
    <row r="70" spans="1:29" s="1" customFormat="1" ht="13.5" customHeight="1">
      <c r="A70" s="256" t="s">
        <v>124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8" t="s">
        <v>89</v>
      </c>
      <c r="M70" s="258"/>
      <c r="N70" s="258"/>
      <c r="O70" s="258" t="s">
        <v>140</v>
      </c>
      <c r="P70" s="258"/>
      <c r="Q70" s="258"/>
      <c r="R70" s="267" t="s">
        <v>125</v>
      </c>
      <c r="S70" s="267"/>
      <c r="T70" s="276">
        <f>225000</f>
      </c>
      <c r="U70" s="276"/>
      <c r="V70" s="276"/>
      <c r="W70" s="276">
        <f>81000</f>
      </c>
      <c r="X70" s="276"/>
      <c r="Y70" s="276"/>
      <c r="Z70" s="276"/>
      <c r="AA70" s="276"/>
      <c r="AB70" s="286">
        <f>144000</f>
      </c>
      <c r="AC70" s="286"/>
    </row>
    <row r="71" spans="1:29" s="1" customFormat="1" ht="13.5" customHeight="1">
      <c r="A71" s="256" t="s">
        <v>90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8" t="s">
        <v>89</v>
      </c>
      <c r="M71" s="258"/>
      <c r="N71" s="258"/>
      <c r="O71" s="258" t="s">
        <v>141</v>
      </c>
      <c r="P71" s="258"/>
      <c r="Q71" s="258"/>
      <c r="R71" s="267" t="s">
        <v>92</v>
      </c>
      <c r="S71" s="267"/>
      <c r="T71" s="276">
        <f>162521</f>
      </c>
      <c r="U71" s="276"/>
      <c r="V71" s="276"/>
      <c r="W71" s="276">
        <f>49890.81</f>
      </c>
      <c r="X71" s="276"/>
      <c r="Y71" s="276"/>
      <c r="Z71" s="276"/>
      <c r="AA71" s="276"/>
      <c r="AB71" s="286">
        <f>112630.19</f>
      </c>
      <c r="AC71" s="286"/>
    </row>
    <row r="72" spans="1:29" s="1" customFormat="1" ht="13.5" customHeight="1">
      <c r="A72" s="256" t="s">
        <v>93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8" t="s">
        <v>89</v>
      </c>
      <c r="M72" s="258"/>
      <c r="N72" s="258"/>
      <c r="O72" s="258" t="s">
        <v>142</v>
      </c>
      <c r="P72" s="258"/>
      <c r="Q72" s="258"/>
      <c r="R72" s="267" t="s">
        <v>95</v>
      </c>
      <c r="S72" s="267"/>
      <c r="T72" s="276">
        <f>72290.54</f>
      </c>
      <c r="U72" s="276"/>
      <c r="V72" s="276"/>
      <c r="W72" s="276">
        <f>35195.6</f>
      </c>
      <c r="X72" s="276"/>
      <c r="Y72" s="276"/>
      <c r="Z72" s="276"/>
      <c r="AA72" s="276"/>
      <c r="AB72" s="286">
        <f>37094.94</f>
      </c>
      <c r="AC72" s="286"/>
    </row>
    <row r="73" spans="1:29" s="1" customFormat="1" ht="13.5" customHeight="1">
      <c r="A73" s="256" t="s">
        <v>90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8" t="s">
        <v>89</v>
      </c>
      <c r="M73" s="258"/>
      <c r="N73" s="258"/>
      <c r="O73" s="258" t="s">
        <v>143</v>
      </c>
      <c r="P73" s="258"/>
      <c r="Q73" s="258"/>
      <c r="R73" s="267" t="s">
        <v>92</v>
      </c>
      <c r="S73" s="267"/>
      <c r="T73" s="276">
        <f>395700</f>
      </c>
      <c r="U73" s="276"/>
      <c r="V73" s="276"/>
      <c r="W73" s="276">
        <f>357564.63</f>
      </c>
      <c r="X73" s="276"/>
      <c r="Y73" s="276"/>
      <c r="Z73" s="276"/>
      <c r="AA73" s="276"/>
      <c r="AB73" s="286">
        <f>38135.37</f>
      </c>
      <c r="AC73" s="286"/>
    </row>
    <row r="74" spans="1:29" s="1" customFormat="1" ht="13.5" customHeight="1">
      <c r="A74" s="256" t="s">
        <v>93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8" t="s">
        <v>89</v>
      </c>
      <c r="M74" s="258"/>
      <c r="N74" s="258"/>
      <c r="O74" s="258" t="s">
        <v>144</v>
      </c>
      <c r="P74" s="258"/>
      <c r="Q74" s="258"/>
      <c r="R74" s="267" t="s">
        <v>95</v>
      </c>
      <c r="S74" s="267"/>
      <c r="T74" s="276">
        <f>119443</f>
      </c>
      <c r="U74" s="276"/>
      <c r="V74" s="276"/>
      <c r="W74" s="276">
        <f>104980.91</f>
      </c>
      <c r="X74" s="276"/>
      <c r="Y74" s="276"/>
      <c r="Z74" s="276"/>
      <c r="AA74" s="276"/>
      <c r="AB74" s="286">
        <f>14462.09</f>
      </c>
      <c r="AC74" s="286"/>
    </row>
    <row r="75" spans="1:29" s="1" customFormat="1" ht="24" customHeight="1">
      <c r="A75" s="256" t="s">
        <v>145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8" t="s">
        <v>89</v>
      </c>
      <c r="M75" s="258"/>
      <c r="N75" s="258"/>
      <c r="O75" s="258" t="s">
        <v>146</v>
      </c>
      <c r="P75" s="258"/>
      <c r="Q75" s="258"/>
      <c r="R75" s="267" t="s">
        <v>147</v>
      </c>
      <c r="S75" s="267"/>
      <c r="T75" s="276">
        <f>2297000</f>
      </c>
      <c r="U75" s="276"/>
      <c r="V75" s="276"/>
      <c r="W75" s="276">
        <f>1056463.15</f>
      </c>
      <c r="X75" s="276"/>
      <c r="Y75" s="276"/>
      <c r="Z75" s="276"/>
      <c r="AA75" s="276"/>
      <c r="AB75" s="286">
        <f>1240536.85</f>
      </c>
      <c r="AC75" s="286"/>
    </row>
    <row r="76" spans="1:29" s="1" customFormat="1" ht="13.5" customHeight="1">
      <c r="A76" s="256" t="s">
        <v>124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8" t="s">
        <v>89</v>
      </c>
      <c r="M76" s="258"/>
      <c r="N76" s="258"/>
      <c r="O76" s="258" t="s">
        <v>148</v>
      </c>
      <c r="P76" s="258"/>
      <c r="Q76" s="258"/>
      <c r="R76" s="267" t="s">
        <v>125</v>
      </c>
      <c r="S76" s="267"/>
      <c r="T76" s="276">
        <f>1596700</f>
      </c>
      <c r="U76" s="276"/>
      <c r="V76" s="276"/>
      <c r="W76" s="288" t="s">
        <v>45</v>
      </c>
      <c r="X76" s="288"/>
      <c r="Y76" s="288"/>
      <c r="Z76" s="288"/>
      <c r="AA76" s="288"/>
      <c r="AB76" s="286">
        <f>1596700</f>
      </c>
      <c r="AC76" s="286"/>
    </row>
    <row r="77" spans="1:29" s="1" customFormat="1" ht="13.5" customHeight="1">
      <c r="A77" s="256" t="s">
        <v>124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8" t="s">
        <v>89</v>
      </c>
      <c r="M77" s="258"/>
      <c r="N77" s="258"/>
      <c r="O77" s="258" t="s">
        <v>149</v>
      </c>
      <c r="P77" s="258"/>
      <c r="Q77" s="258"/>
      <c r="R77" s="267" t="s">
        <v>125</v>
      </c>
      <c r="S77" s="267"/>
      <c r="T77" s="276">
        <f>84000</f>
      </c>
      <c r="U77" s="276"/>
      <c r="V77" s="276"/>
      <c r="W77" s="288" t="s">
        <v>45</v>
      </c>
      <c r="X77" s="288"/>
      <c r="Y77" s="288"/>
      <c r="Z77" s="288"/>
      <c r="AA77" s="288"/>
      <c r="AB77" s="286">
        <f>84000</f>
      </c>
      <c r="AC77" s="286"/>
    </row>
    <row r="78" spans="1:29" s="1" customFormat="1" ht="13.5" customHeight="1">
      <c r="A78" s="256" t="s">
        <v>124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8" t="s">
        <v>89</v>
      </c>
      <c r="M78" s="258"/>
      <c r="N78" s="258"/>
      <c r="O78" s="258" t="s">
        <v>150</v>
      </c>
      <c r="P78" s="258"/>
      <c r="Q78" s="258"/>
      <c r="R78" s="267" t="s">
        <v>125</v>
      </c>
      <c r="S78" s="267"/>
      <c r="T78" s="276">
        <f>5456200</f>
      </c>
      <c r="U78" s="276"/>
      <c r="V78" s="276"/>
      <c r="W78" s="276">
        <f>1415077.51</f>
      </c>
      <c r="X78" s="276"/>
      <c r="Y78" s="276"/>
      <c r="Z78" s="276"/>
      <c r="AA78" s="276"/>
      <c r="AB78" s="286">
        <f>4041122.49</f>
      </c>
      <c r="AC78" s="286"/>
    </row>
    <row r="79" spans="1:29" s="1" customFormat="1" ht="13.5" customHeight="1">
      <c r="A79" s="256" t="s">
        <v>128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8" t="s">
        <v>89</v>
      </c>
      <c r="M79" s="258"/>
      <c r="N79" s="258"/>
      <c r="O79" s="258" t="s">
        <v>150</v>
      </c>
      <c r="P79" s="258"/>
      <c r="Q79" s="258"/>
      <c r="R79" s="267" t="s">
        <v>129</v>
      </c>
      <c r="S79" s="267"/>
      <c r="T79" s="276">
        <f>90000</f>
      </c>
      <c r="U79" s="276"/>
      <c r="V79" s="276"/>
      <c r="W79" s="288" t="s">
        <v>45</v>
      </c>
      <c r="X79" s="288"/>
      <c r="Y79" s="288"/>
      <c r="Z79" s="288"/>
      <c r="AA79" s="288"/>
      <c r="AB79" s="286">
        <f>90000</f>
      </c>
      <c r="AC79" s="286"/>
    </row>
    <row r="80" spans="1:29" s="1" customFormat="1" ht="13.5" customHeight="1">
      <c r="A80" s="256" t="s">
        <v>119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8" t="s">
        <v>89</v>
      </c>
      <c r="M80" s="258"/>
      <c r="N80" s="258"/>
      <c r="O80" s="258" t="s">
        <v>151</v>
      </c>
      <c r="P80" s="258"/>
      <c r="Q80" s="258"/>
      <c r="R80" s="267" t="s">
        <v>121</v>
      </c>
      <c r="S80" s="267"/>
      <c r="T80" s="276">
        <f>50000</f>
      </c>
      <c r="U80" s="276"/>
      <c r="V80" s="276"/>
      <c r="W80" s="276">
        <f>25653.2</f>
      </c>
      <c r="X80" s="276"/>
      <c r="Y80" s="276"/>
      <c r="Z80" s="276"/>
      <c r="AA80" s="276"/>
      <c r="AB80" s="286">
        <f>24346.8</f>
      </c>
      <c r="AC80" s="286"/>
    </row>
    <row r="81" spans="1:29" s="1" customFormat="1" ht="13.5" customHeight="1">
      <c r="A81" s="256" t="s">
        <v>104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8" t="s">
        <v>89</v>
      </c>
      <c r="M81" s="258"/>
      <c r="N81" s="258"/>
      <c r="O81" s="258" t="s">
        <v>151</v>
      </c>
      <c r="P81" s="258"/>
      <c r="Q81" s="258"/>
      <c r="R81" s="267" t="s">
        <v>106</v>
      </c>
      <c r="S81" s="267"/>
      <c r="T81" s="276">
        <f>196000</f>
      </c>
      <c r="U81" s="276"/>
      <c r="V81" s="276"/>
      <c r="W81" s="276">
        <f>146354.8</f>
      </c>
      <c r="X81" s="276"/>
      <c r="Y81" s="276"/>
      <c r="Z81" s="276"/>
      <c r="AA81" s="276"/>
      <c r="AB81" s="286">
        <f>49645.2</f>
      </c>
      <c r="AC81" s="286"/>
    </row>
    <row r="82" spans="1:29" s="1" customFormat="1" ht="13.5" customHeight="1">
      <c r="A82" s="256" t="s">
        <v>124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8" t="s">
        <v>89</v>
      </c>
      <c r="M82" s="258"/>
      <c r="N82" s="258"/>
      <c r="O82" s="258" t="s">
        <v>152</v>
      </c>
      <c r="P82" s="258"/>
      <c r="Q82" s="258"/>
      <c r="R82" s="267" t="s">
        <v>125</v>
      </c>
      <c r="S82" s="267"/>
      <c r="T82" s="276">
        <f>2153000</f>
      </c>
      <c r="U82" s="276"/>
      <c r="V82" s="276"/>
      <c r="W82" s="288" t="s">
        <v>45</v>
      </c>
      <c r="X82" s="288"/>
      <c r="Y82" s="288"/>
      <c r="Z82" s="288"/>
      <c r="AA82" s="288"/>
      <c r="AB82" s="286">
        <f>2153000</f>
      </c>
      <c r="AC82" s="286"/>
    </row>
    <row r="83" spans="1:29" s="1" customFormat="1" ht="13.5" customHeight="1">
      <c r="A83" s="256" t="s">
        <v>124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8" t="s">
        <v>89</v>
      </c>
      <c r="M83" s="258"/>
      <c r="N83" s="258"/>
      <c r="O83" s="258" t="s">
        <v>153</v>
      </c>
      <c r="P83" s="258"/>
      <c r="Q83" s="258"/>
      <c r="R83" s="267" t="s">
        <v>125</v>
      </c>
      <c r="S83" s="267"/>
      <c r="T83" s="276">
        <f>540000</f>
      </c>
      <c r="U83" s="276"/>
      <c r="V83" s="276"/>
      <c r="W83" s="288" t="s">
        <v>45</v>
      </c>
      <c r="X83" s="288"/>
      <c r="Y83" s="288"/>
      <c r="Z83" s="288"/>
      <c r="AA83" s="288"/>
      <c r="AB83" s="286">
        <f>540000</f>
      </c>
      <c r="AC83" s="286"/>
    </row>
    <row r="84" spans="1:29" s="1" customFormat="1" ht="13.5" customHeight="1">
      <c r="A84" s="256" t="s">
        <v>124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8" t="s">
        <v>89</v>
      </c>
      <c r="M84" s="258"/>
      <c r="N84" s="258"/>
      <c r="O84" s="258" t="s">
        <v>154</v>
      </c>
      <c r="P84" s="258"/>
      <c r="Q84" s="258"/>
      <c r="R84" s="267" t="s">
        <v>125</v>
      </c>
      <c r="S84" s="267"/>
      <c r="T84" s="276">
        <f>346300</f>
      </c>
      <c r="U84" s="276"/>
      <c r="V84" s="276"/>
      <c r="W84" s="288" t="s">
        <v>45</v>
      </c>
      <c r="X84" s="288"/>
      <c r="Y84" s="288"/>
      <c r="Z84" s="288"/>
      <c r="AA84" s="288"/>
      <c r="AB84" s="286">
        <f>346300</f>
      </c>
      <c r="AC84" s="286"/>
    </row>
    <row r="85" spans="1:29" s="1" customFormat="1" ht="13.5" customHeight="1">
      <c r="A85" s="256" t="s">
        <v>124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8" t="s">
        <v>89</v>
      </c>
      <c r="M85" s="258"/>
      <c r="N85" s="258"/>
      <c r="O85" s="258" t="s">
        <v>155</v>
      </c>
      <c r="P85" s="258"/>
      <c r="Q85" s="258"/>
      <c r="R85" s="267" t="s">
        <v>125</v>
      </c>
      <c r="S85" s="267"/>
      <c r="T85" s="276">
        <f>18200</f>
      </c>
      <c r="U85" s="276"/>
      <c r="V85" s="276"/>
      <c r="W85" s="288" t="s">
        <v>45</v>
      </c>
      <c r="X85" s="288"/>
      <c r="Y85" s="288"/>
      <c r="Z85" s="288"/>
      <c r="AA85" s="288"/>
      <c r="AB85" s="286">
        <f>18200</f>
      </c>
      <c r="AC85" s="286"/>
    </row>
    <row r="86" spans="1:29" s="1" customFormat="1" ht="13.5" customHeight="1">
      <c r="A86" s="256" t="s">
        <v>104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8" t="s">
        <v>89</v>
      </c>
      <c r="M86" s="258"/>
      <c r="N86" s="258"/>
      <c r="O86" s="258" t="s">
        <v>156</v>
      </c>
      <c r="P86" s="258"/>
      <c r="Q86" s="258"/>
      <c r="R86" s="267" t="s">
        <v>106</v>
      </c>
      <c r="S86" s="267"/>
      <c r="T86" s="276">
        <f>1822940</f>
      </c>
      <c r="U86" s="276"/>
      <c r="V86" s="276"/>
      <c r="W86" s="288" t="s">
        <v>45</v>
      </c>
      <c r="X86" s="288"/>
      <c r="Y86" s="288"/>
      <c r="Z86" s="288"/>
      <c r="AA86" s="288"/>
      <c r="AB86" s="286">
        <f>1822940</f>
      </c>
      <c r="AC86" s="286"/>
    </row>
    <row r="87" spans="1:29" s="1" customFormat="1" ht="13.5" customHeight="1">
      <c r="A87" s="256" t="s">
        <v>124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8" t="s">
        <v>89</v>
      </c>
      <c r="M87" s="258"/>
      <c r="N87" s="258"/>
      <c r="O87" s="258" t="s">
        <v>157</v>
      </c>
      <c r="P87" s="258"/>
      <c r="Q87" s="258"/>
      <c r="R87" s="267" t="s">
        <v>125</v>
      </c>
      <c r="S87" s="267"/>
      <c r="T87" s="276">
        <f>900000</f>
      </c>
      <c r="U87" s="276"/>
      <c r="V87" s="276"/>
      <c r="W87" s="288" t="s">
        <v>45</v>
      </c>
      <c r="X87" s="288"/>
      <c r="Y87" s="288"/>
      <c r="Z87" s="288"/>
      <c r="AA87" s="288"/>
      <c r="AB87" s="286">
        <f>900000</f>
      </c>
      <c r="AC87" s="286"/>
    </row>
    <row r="88" spans="1:29" s="1" customFormat="1" ht="13.5" customHeight="1">
      <c r="A88" s="256" t="s">
        <v>124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8" t="s">
        <v>89</v>
      </c>
      <c r="M88" s="258"/>
      <c r="N88" s="258"/>
      <c r="O88" s="258" t="s">
        <v>158</v>
      </c>
      <c r="P88" s="258"/>
      <c r="Q88" s="258"/>
      <c r="R88" s="267" t="s">
        <v>125</v>
      </c>
      <c r="S88" s="267"/>
      <c r="T88" s="276">
        <f>100000</f>
      </c>
      <c r="U88" s="276"/>
      <c r="V88" s="276"/>
      <c r="W88" s="288" t="s">
        <v>45</v>
      </c>
      <c r="X88" s="288"/>
      <c r="Y88" s="288"/>
      <c r="Z88" s="288"/>
      <c r="AA88" s="288"/>
      <c r="AB88" s="286">
        <f>100000</f>
      </c>
      <c r="AC88" s="286"/>
    </row>
    <row r="89" spans="1:29" s="1" customFormat="1" ht="13.5" customHeight="1">
      <c r="A89" s="256" t="s">
        <v>122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8" t="s">
        <v>89</v>
      </c>
      <c r="M89" s="258"/>
      <c r="N89" s="258"/>
      <c r="O89" s="258" t="s">
        <v>159</v>
      </c>
      <c r="P89" s="258"/>
      <c r="Q89" s="258"/>
      <c r="R89" s="267" t="s">
        <v>123</v>
      </c>
      <c r="S89" s="267"/>
      <c r="T89" s="276">
        <f>1200000</f>
      </c>
      <c r="U89" s="276"/>
      <c r="V89" s="276"/>
      <c r="W89" s="276">
        <f>745328.98</f>
      </c>
      <c r="X89" s="276"/>
      <c r="Y89" s="276"/>
      <c r="Z89" s="276"/>
      <c r="AA89" s="276"/>
      <c r="AB89" s="286">
        <f>454671.02</f>
      </c>
      <c r="AC89" s="286"/>
    </row>
    <row r="90" spans="1:29" s="1" customFormat="1" ht="13.5" customHeight="1">
      <c r="A90" s="256" t="s">
        <v>124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8" t="s">
        <v>89</v>
      </c>
      <c r="M90" s="258"/>
      <c r="N90" s="258"/>
      <c r="O90" s="258" t="s">
        <v>159</v>
      </c>
      <c r="P90" s="258"/>
      <c r="Q90" s="258"/>
      <c r="R90" s="267" t="s">
        <v>125</v>
      </c>
      <c r="S90" s="267"/>
      <c r="T90" s="276">
        <f>700000</f>
      </c>
      <c r="U90" s="276"/>
      <c r="V90" s="276"/>
      <c r="W90" s="276">
        <f>366042.75</f>
      </c>
      <c r="X90" s="276"/>
      <c r="Y90" s="276"/>
      <c r="Z90" s="276"/>
      <c r="AA90" s="276"/>
      <c r="AB90" s="286">
        <f>333957.25</f>
      </c>
      <c r="AC90" s="286"/>
    </row>
    <row r="91" spans="1:29" s="1" customFormat="1" ht="13.5" customHeight="1">
      <c r="A91" s="256" t="s">
        <v>104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8" t="s">
        <v>89</v>
      </c>
      <c r="M91" s="258"/>
      <c r="N91" s="258"/>
      <c r="O91" s="258" t="s">
        <v>159</v>
      </c>
      <c r="P91" s="258"/>
      <c r="Q91" s="258"/>
      <c r="R91" s="267" t="s">
        <v>106</v>
      </c>
      <c r="S91" s="267"/>
      <c r="T91" s="276">
        <f>260000</f>
      </c>
      <c r="U91" s="276"/>
      <c r="V91" s="276"/>
      <c r="W91" s="288" t="s">
        <v>45</v>
      </c>
      <c r="X91" s="288"/>
      <c r="Y91" s="288"/>
      <c r="Z91" s="288"/>
      <c r="AA91" s="288"/>
      <c r="AB91" s="286">
        <f>260000</f>
      </c>
      <c r="AC91" s="286"/>
    </row>
    <row r="92" spans="1:29" s="1" customFormat="1" ht="13.5" customHeight="1">
      <c r="A92" s="256" t="s">
        <v>126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8" t="s">
        <v>89</v>
      </c>
      <c r="M92" s="258"/>
      <c r="N92" s="258"/>
      <c r="O92" s="258" t="s">
        <v>159</v>
      </c>
      <c r="P92" s="258"/>
      <c r="Q92" s="258"/>
      <c r="R92" s="267" t="s">
        <v>127</v>
      </c>
      <c r="S92" s="267"/>
      <c r="T92" s="276">
        <f>2000000</f>
      </c>
      <c r="U92" s="276"/>
      <c r="V92" s="276"/>
      <c r="W92" s="288" t="s">
        <v>45</v>
      </c>
      <c r="X92" s="288"/>
      <c r="Y92" s="288"/>
      <c r="Z92" s="288"/>
      <c r="AA92" s="288"/>
      <c r="AB92" s="286">
        <f>2000000</f>
      </c>
      <c r="AC92" s="286"/>
    </row>
    <row r="93" spans="1:29" s="1" customFormat="1" ht="13.5" customHeight="1">
      <c r="A93" s="256" t="s">
        <v>128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8" t="s">
        <v>89</v>
      </c>
      <c r="M93" s="258"/>
      <c r="N93" s="258"/>
      <c r="O93" s="258" t="s">
        <v>159</v>
      </c>
      <c r="P93" s="258"/>
      <c r="Q93" s="258"/>
      <c r="R93" s="267" t="s">
        <v>129</v>
      </c>
      <c r="S93" s="267"/>
      <c r="T93" s="276">
        <f>182446.89</f>
      </c>
      <c r="U93" s="276"/>
      <c r="V93" s="276"/>
      <c r="W93" s="276">
        <f>1962.34</f>
      </c>
      <c r="X93" s="276"/>
      <c r="Y93" s="276"/>
      <c r="Z93" s="276"/>
      <c r="AA93" s="276"/>
      <c r="AB93" s="286">
        <f>180484.55</f>
      </c>
      <c r="AC93" s="286"/>
    </row>
    <row r="94" spans="1:29" s="1" customFormat="1" ht="13.5" customHeight="1">
      <c r="A94" s="256" t="s">
        <v>119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8" t="s">
        <v>89</v>
      </c>
      <c r="M94" s="258"/>
      <c r="N94" s="258"/>
      <c r="O94" s="258" t="s">
        <v>160</v>
      </c>
      <c r="P94" s="258"/>
      <c r="Q94" s="258"/>
      <c r="R94" s="267" t="s">
        <v>121</v>
      </c>
      <c r="S94" s="267"/>
      <c r="T94" s="276">
        <f>56000</f>
      </c>
      <c r="U94" s="276"/>
      <c r="V94" s="276"/>
      <c r="W94" s="276">
        <f>12400</f>
      </c>
      <c r="X94" s="276"/>
      <c r="Y94" s="276"/>
      <c r="Z94" s="276"/>
      <c r="AA94" s="276"/>
      <c r="AB94" s="286">
        <f>43600</f>
      </c>
      <c r="AC94" s="286"/>
    </row>
    <row r="95" spans="1:29" s="1" customFormat="1" ht="13.5" customHeight="1">
      <c r="A95" s="256" t="s">
        <v>119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8" t="s">
        <v>89</v>
      </c>
      <c r="M95" s="258"/>
      <c r="N95" s="258"/>
      <c r="O95" s="258" t="s">
        <v>161</v>
      </c>
      <c r="P95" s="258"/>
      <c r="Q95" s="258"/>
      <c r="R95" s="267" t="s">
        <v>121</v>
      </c>
      <c r="S95" s="267"/>
      <c r="T95" s="276">
        <f>9900</f>
      </c>
      <c r="U95" s="276"/>
      <c r="V95" s="276"/>
      <c r="W95" s="276">
        <f>1894.1</f>
      </c>
      <c r="X95" s="276"/>
      <c r="Y95" s="276"/>
      <c r="Z95" s="276"/>
      <c r="AA95" s="276"/>
      <c r="AB95" s="286">
        <f>8005.9</f>
      </c>
      <c r="AC95" s="286"/>
    </row>
    <row r="96" spans="1:29" s="1" customFormat="1" ht="13.5" customHeight="1">
      <c r="A96" s="256" t="s">
        <v>90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8" t="s">
        <v>89</v>
      </c>
      <c r="M96" s="258"/>
      <c r="N96" s="258"/>
      <c r="O96" s="258" t="s">
        <v>162</v>
      </c>
      <c r="P96" s="258"/>
      <c r="Q96" s="258"/>
      <c r="R96" s="267" t="s">
        <v>92</v>
      </c>
      <c r="S96" s="267"/>
      <c r="T96" s="276">
        <f>8662000</f>
      </c>
      <c r="U96" s="276"/>
      <c r="V96" s="276"/>
      <c r="W96" s="276">
        <f>3040627.42</f>
      </c>
      <c r="X96" s="276"/>
      <c r="Y96" s="276"/>
      <c r="Z96" s="276"/>
      <c r="AA96" s="276"/>
      <c r="AB96" s="286">
        <f>5621372.58</f>
      </c>
      <c r="AC96" s="286"/>
    </row>
    <row r="97" spans="1:29" s="1" customFormat="1" ht="13.5" customHeight="1">
      <c r="A97" s="256" t="s">
        <v>114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8" t="s">
        <v>89</v>
      </c>
      <c r="M97" s="258"/>
      <c r="N97" s="258"/>
      <c r="O97" s="258" t="s">
        <v>163</v>
      </c>
      <c r="P97" s="258"/>
      <c r="Q97" s="258"/>
      <c r="R97" s="267" t="s">
        <v>116</v>
      </c>
      <c r="S97" s="267"/>
      <c r="T97" s="276">
        <f>140000</f>
      </c>
      <c r="U97" s="276"/>
      <c r="V97" s="276"/>
      <c r="W97" s="276">
        <f>19671</f>
      </c>
      <c r="X97" s="276"/>
      <c r="Y97" s="276"/>
      <c r="Z97" s="276"/>
      <c r="AA97" s="276"/>
      <c r="AB97" s="286">
        <f>120329</f>
      </c>
      <c r="AC97" s="286"/>
    </row>
    <row r="98" spans="1:29" s="1" customFormat="1" ht="13.5" customHeight="1">
      <c r="A98" s="256" t="s">
        <v>117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8" t="s">
        <v>89</v>
      </c>
      <c r="M98" s="258"/>
      <c r="N98" s="258"/>
      <c r="O98" s="258" t="s">
        <v>163</v>
      </c>
      <c r="P98" s="258"/>
      <c r="Q98" s="258"/>
      <c r="R98" s="267" t="s">
        <v>118</v>
      </c>
      <c r="S98" s="267"/>
      <c r="T98" s="276">
        <f>10000</f>
      </c>
      <c r="U98" s="276"/>
      <c r="V98" s="276"/>
      <c r="W98" s="276">
        <f>1184.45</f>
      </c>
      <c r="X98" s="276"/>
      <c r="Y98" s="276"/>
      <c r="Z98" s="276"/>
      <c r="AA98" s="276"/>
      <c r="AB98" s="286">
        <f>8815.55</f>
      </c>
      <c r="AC98" s="286"/>
    </row>
    <row r="99" spans="1:29" s="1" customFormat="1" ht="13.5" customHeight="1">
      <c r="A99" s="256" t="s">
        <v>93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8" t="s">
        <v>89</v>
      </c>
      <c r="M99" s="258"/>
      <c r="N99" s="258"/>
      <c r="O99" s="258" t="s">
        <v>164</v>
      </c>
      <c r="P99" s="258"/>
      <c r="Q99" s="258"/>
      <c r="R99" s="267" t="s">
        <v>95</v>
      </c>
      <c r="S99" s="267"/>
      <c r="T99" s="276">
        <f>2620000</f>
      </c>
      <c r="U99" s="276"/>
      <c r="V99" s="276"/>
      <c r="W99" s="276">
        <f>902944.16</f>
      </c>
      <c r="X99" s="276"/>
      <c r="Y99" s="276"/>
      <c r="Z99" s="276"/>
      <c r="AA99" s="276"/>
      <c r="AB99" s="286">
        <f>1717055.84</f>
      </c>
      <c r="AC99" s="286"/>
    </row>
    <row r="100" spans="1:29" s="1" customFormat="1" ht="13.5" customHeight="1">
      <c r="A100" s="256" t="s">
        <v>119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8" t="s">
        <v>89</v>
      </c>
      <c r="M100" s="258"/>
      <c r="N100" s="258"/>
      <c r="O100" s="258" t="s">
        <v>165</v>
      </c>
      <c r="P100" s="258"/>
      <c r="Q100" s="258"/>
      <c r="R100" s="267" t="s">
        <v>121</v>
      </c>
      <c r="S100" s="267"/>
      <c r="T100" s="276">
        <f>205000</f>
      </c>
      <c r="U100" s="276"/>
      <c r="V100" s="276"/>
      <c r="W100" s="276">
        <f>90223.54</f>
      </c>
      <c r="X100" s="276"/>
      <c r="Y100" s="276"/>
      <c r="Z100" s="276"/>
      <c r="AA100" s="276"/>
      <c r="AB100" s="286">
        <f>114776.46</f>
      </c>
      <c r="AC100" s="286"/>
    </row>
    <row r="101" spans="1:29" s="1" customFormat="1" ht="13.5" customHeight="1">
      <c r="A101" s="256" t="s">
        <v>122</v>
      </c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8" t="s">
        <v>89</v>
      </c>
      <c r="M101" s="258"/>
      <c r="N101" s="258"/>
      <c r="O101" s="258" t="s">
        <v>165</v>
      </c>
      <c r="P101" s="258"/>
      <c r="Q101" s="258"/>
      <c r="R101" s="267" t="s">
        <v>123</v>
      </c>
      <c r="S101" s="267"/>
      <c r="T101" s="276">
        <f>4235000</f>
      </c>
      <c r="U101" s="276"/>
      <c r="V101" s="276"/>
      <c r="W101" s="276">
        <f>2048667.57</f>
      </c>
      <c r="X101" s="276"/>
      <c r="Y101" s="276"/>
      <c r="Z101" s="276"/>
      <c r="AA101" s="276"/>
      <c r="AB101" s="286">
        <f>2186332.43</f>
      </c>
      <c r="AC101" s="286"/>
    </row>
    <row r="102" spans="1:29" s="1" customFormat="1" ht="13.5" customHeight="1">
      <c r="A102" s="256" t="s">
        <v>124</v>
      </c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8" t="s">
        <v>89</v>
      </c>
      <c r="M102" s="258"/>
      <c r="N102" s="258"/>
      <c r="O102" s="258" t="s">
        <v>165</v>
      </c>
      <c r="P102" s="258"/>
      <c r="Q102" s="258"/>
      <c r="R102" s="267" t="s">
        <v>125</v>
      </c>
      <c r="S102" s="267"/>
      <c r="T102" s="276">
        <f>340000</f>
      </c>
      <c r="U102" s="276"/>
      <c r="V102" s="276"/>
      <c r="W102" s="276">
        <f>103719</f>
      </c>
      <c r="X102" s="276"/>
      <c r="Y102" s="276"/>
      <c r="Z102" s="276"/>
      <c r="AA102" s="276"/>
      <c r="AB102" s="286">
        <f>236281</f>
      </c>
      <c r="AC102" s="286"/>
    </row>
    <row r="103" spans="1:29" s="1" customFormat="1" ht="13.5" customHeight="1">
      <c r="A103" s="256" t="s">
        <v>104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8" t="s">
        <v>89</v>
      </c>
      <c r="M103" s="258"/>
      <c r="N103" s="258"/>
      <c r="O103" s="258" t="s">
        <v>165</v>
      </c>
      <c r="P103" s="258"/>
      <c r="Q103" s="258"/>
      <c r="R103" s="267" t="s">
        <v>106</v>
      </c>
      <c r="S103" s="267"/>
      <c r="T103" s="276">
        <f>255100</f>
      </c>
      <c r="U103" s="276"/>
      <c r="V103" s="276"/>
      <c r="W103" s="276">
        <f>145193.09</f>
      </c>
      <c r="X103" s="276"/>
      <c r="Y103" s="276"/>
      <c r="Z103" s="276"/>
      <c r="AA103" s="276"/>
      <c r="AB103" s="286">
        <f>109906.91</f>
      </c>
      <c r="AC103" s="286"/>
    </row>
    <row r="104" spans="1:29" s="1" customFormat="1" ht="13.5" customHeight="1">
      <c r="A104" s="256" t="s">
        <v>100</v>
      </c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8" t="s">
        <v>89</v>
      </c>
      <c r="M104" s="258"/>
      <c r="N104" s="258"/>
      <c r="O104" s="258" t="s">
        <v>165</v>
      </c>
      <c r="P104" s="258"/>
      <c r="Q104" s="258"/>
      <c r="R104" s="267" t="s">
        <v>102</v>
      </c>
      <c r="S104" s="267"/>
      <c r="T104" s="276">
        <f>89000</f>
      </c>
      <c r="U104" s="276"/>
      <c r="V104" s="276"/>
      <c r="W104" s="276">
        <f>14517</f>
      </c>
      <c r="X104" s="276"/>
      <c r="Y104" s="276"/>
      <c r="Z104" s="276"/>
      <c r="AA104" s="276"/>
      <c r="AB104" s="286">
        <f>74483</f>
      </c>
      <c r="AC104" s="286"/>
    </row>
    <row r="105" spans="1:29" s="1" customFormat="1" ht="13.5" customHeight="1">
      <c r="A105" s="256" t="s">
        <v>128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8" t="s">
        <v>89</v>
      </c>
      <c r="M105" s="258"/>
      <c r="N105" s="258"/>
      <c r="O105" s="258" t="s">
        <v>165</v>
      </c>
      <c r="P105" s="258"/>
      <c r="Q105" s="258"/>
      <c r="R105" s="267" t="s">
        <v>129</v>
      </c>
      <c r="S105" s="267"/>
      <c r="T105" s="276">
        <f>215000</f>
      </c>
      <c r="U105" s="276"/>
      <c r="V105" s="276"/>
      <c r="W105" s="276">
        <f>46330</f>
      </c>
      <c r="X105" s="276"/>
      <c r="Y105" s="276"/>
      <c r="Z105" s="276"/>
      <c r="AA105" s="276"/>
      <c r="AB105" s="286">
        <f>168670</f>
      </c>
      <c r="AC105" s="286"/>
    </row>
    <row r="106" spans="1:29" s="1" customFormat="1" ht="13.5" customHeight="1">
      <c r="A106" s="256" t="s">
        <v>107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8" t="s">
        <v>89</v>
      </c>
      <c r="M106" s="258"/>
      <c r="N106" s="258"/>
      <c r="O106" s="258" t="s">
        <v>166</v>
      </c>
      <c r="P106" s="258"/>
      <c r="Q106" s="258"/>
      <c r="R106" s="267" t="s">
        <v>109</v>
      </c>
      <c r="S106" s="267"/>
      <c r="T106" s="276">
        <f>26000</f>
      </c>
      <c r="U106" s="276"/>
      <c r="V106" s="276"/>
      <c r="W106" s="276">
        <f>10000</f>
      </c>
      <c r="X106" s="276"/>
      <c r="Y106" s="276"/>
      <c r="Z106" s="276"/>
      <c r="AA106" s="276"/>
      <c r="AB106" s="286">
        <f>16000</f>
      </c>
      <c r="AC106" s="286"/>
    </row>
    <row r="107" spans="1:29" s="1" customFormat="1" ht="13.5" customHeight="1">
      <c r="A107" s="256" t="s">
        <v>107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8" t="s">
        <v>89</v>
      </c>
      <c r="M107" s="258"/>
      <c r="N107" s="258"/>
      <c r="O107" s="258" t="s">
        <v>167</v>
      </c>
      <c r="P107" s="258"/>
      <c r="Q107" s="258"/>
      <c r="R107" s="267" t="s">
        <v>109</v>
      </c>
      <c r="S107" s="267"/>
      <c r="T107" s="276">
        <f>3000</f>
      </c>
      <c r="U107" s="276"/>
      <c r="V107" s="276"/>
      <c r="W107" s="288" t="s">
        <v>45</v>
      </c>
      <c r="X107" s="288"/>
      <c r="Y107" s="288"/>
      <c r="Z107" s="288"/>
      <c r="AA107" s="288"/>
      <c r="AB107" s="286">
        <f>3000</f>
      </c>
      <c r="AC107" s="286"/>
    </row>
    <row r="108" spans="1:29" s="1" customFormat="1" ht="24" customHeight="1">
      <c r="A108" s="256" t="s">
        <v>111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8" t="s">
        <v>89</v>
      </c>
      <c r="M108" s="258"/>
      <c r="N108" s="258"/>
      <c r="O108" s="258" t="s">
        <v>168</v>
      </c>
      <c r="P108" s="258"/>
      <c r="Q108" s="258"/>
      <c r="R108" s="267" t="s">
        <v>113</v>
      </c>
      <c r="S108" s="267"/>
      <c r="T108" s="276">
        <f>5000</f>
      </c>
      <c r="U108" s="276"/>
      <c r="V108" s="276"/>
      <c r="W108" s="276">
        <f>983.9</f>
      </c>
      <c r="X108" s="276"/>
      <c r="Y108" s="276"/>
      <c r="Z108" s="276"/>
      <c r="AA108" s="276"/>
      <c r="AB108" s="286">
        <f>4016.1</f>
      </c>
      <c r="AC108" s="286"/>
    </row>
    <row r="109" spans="1:29" s="1" customFormat="1" ht="13.5" customHeight="1">
      <c r="A109" s="256" t="s">
        <v>100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8" t="s">
        <v>89</v>
      </c>
      <c r="M109" s="258"/>
      <c r="N109" s="258"/>
      <c r="O109" s="258" t="s">
        <v>169</v>
      </c>
      <c r="P109" s="258"/>
      <c r="Q109" s="258"/>
      <c r="R109" s="267" t="s">
        <v>102</v>
      </c>
      <c r="S109" s="267"/>
      <c r="T109" s="276">
        <f>164400</f>
      </c>
      <c r="U109" s="276"/>
      <c r="V109" s="276"/>
      <c r="W109" s="276">
        <f>81200</f>
      </c>
      <c r="X109" s="276"/>
      <c r="Y109" s="276"/>
      <c r="Z109" s="276"/>
      <c r="AA109" s="276"/>
      <c r="AB109" s="286">
        <f>83200</f>
      </c>
      <c r="AC109" s="286"/>
    </row>
    <row r="110" spans="1:29" s="1" customFormat="1" ht="13.5" customHeight="1">
      <c r="A110" s="256" t="s">
        <v>100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8" t="s">
        <v>89</v>
      </c>
      <c r="M110" s="258"/>
      <c r="N110" s="258"/>
      <c r="O110" s="258" t="s">
        <v>170</v>
      </c>
      <c r="P110" s="258"/>
      <c r="Q110" s="258"/>
      <c r="R110" s="267" t="s">
        <v>102</v>
      </c>
      <c r="S110" s="267"/>
      <c r="T110" s="276">
        <f>25000</f>
      </c>
      <c r="U110" s="276"/>
      <c r="V110" s="276"/>
      <c r="W110" s="276">
        <f>12900</f>
      </c>
      <c r="X110" s="276"/>
      <c r="Y110" s="276"/>
      <c r="Z110" s="276"/>
      <c r="AA110" s="276"/>
      <c r="AB110" s="286">
        <f>12100</f>
      </c>
      <c r="AC110" s="286"/>
    </row>
    <row r="111" spans="1:29" s="1" customFormat="1" ht="24" customHeight="1">
      <c r="A111" s="256" t="s">
        <v>171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8" t="s">
        <v>89</v>
      </c>
      <c r="M111" s="258"/>
      <c r="N111" s="258"/>
      <c r="O111" s="258" t="s">
        <v>172</v>
      </c>
      <c r="P111" s="258"/>
      <c r="Q111" s="258"/>
      <c r="R111" s="267" t="s">
        <v>173</v>
      </c>
      <c r="S111" s="267"/>
      <c r="T111" s="276">
        <f>60000</f>
      </c>
      <c r="U111" s="276"/>
      <c r="V111" s="276"/>
      <c r="W111" s="276">
        <f>20000</f>
      </c>
      <c r="X111" s="276"/>
      <c r="Y111" s="276"/>
      <c r="Z111" s="276"/>
      <c r="AA111" s="276"/>
      <c r="AB111" s="286">
        <f>40000</f>
      </c>
      <c r="AC111" s="286"/>
    </row>
    <row r="112" spans="1:29" s="1" customFormat="1" ht="13.5" customHeight="1">
      <c r="A112" s="256" t="s">
        <v>126</v>
      </c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8" t="s">
        <v>89</v>
      </c>
      <c r="M112" s="258"/>
      <c r="N112" s="258"/>
      <c r="O112" s="258" t="s">
        <v>174</v>
      </c>
      <c r="P112" s="258"/>
      <c r="Q112" s="258"/>
      <c r="R112" s="267" t="s">
        <v>127</v>
      </c>
      <c r="S112" s="267"/>
      <c r="T112" s="276">
        <f>30000</f>
      </c>
      <c r="U112" s="276"/>
      <c r="V112" s="276"/>
      <c r="W112" s="288" t="s">
        <v>45</v>
      </c>
      <c r="X112" s="288"/>
      <c r="Y112" s="288"/>
      <c r="Z112" s="288"/>
      <c r="AA112" s="288"/>
      <c r="AB112" s="286">
        <f>30000</f>
      </c>
      <c r="AC112" s="286"/>
    </row>
    <row r="113" spans="1:29" s="1" customFormat="1" ht="13.5" customHeight="1">
      <c r="A113" s="256" t="s">
        <v>90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8" t="s">
        <v>89</v>
      </c>
      <c r="M113" s="258"/>
      <c r="N113" s="258"/>
      <c r="O113" s="258" t="s">
        <v>175</v>
      </c>
      <c r="P113" s="258"/>
      <c r="Q113" s="258"/>
      <c r="R113" s="267" t="s">
        <v>92</v>
      </c>
      <c r="S113" s="267"/>
      <c r="T113" s="276">
        <f>915000</f>
      </c>
      <c r="U113" s="276"/>
      <c r="V113" s="276"/>
      <c r="W113" s="276">
        <f>722594.2</f>
      </c>
      <c r="X113" s="276"/>
      <c r="Y113" s="276"/>
      <c r="Z113" s="276"/>
      <c r="AA113" s="276"/>
      <c r="AB113" s="286">
        <f>192405.8</f>
      </c>
      <c r="AC113" s="286"/>
    </row>
    <row r="114" spans="1:29" s="1" customFormat="1" ht="13.5" customHeight="1">
      <c r="A114" s="256" t="s">
        <v>93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8" t="s">
        <v>89</v>
      </c>
      <c r="M114" s="258"/>
      <c r="N114" s="258"/>
      <c r="O114" s="258" t="s">
        <v>176</v>
      </c>
      <c r="P114" s="258"/>
      <c r="Q114" s="258"/>
      <c r="R114" s="267" t="s">
        <v>95</v>
      </c>
      <c r="S114" s="267"/>
      <c r="T114" s="276">
        <f>300000</f>
      </c>
      <c r="U114" s="276"/>
      <c r="V114" s="276"/>
      <c r="W114" s="276">
        <f>191873.51</f>
      </c>
      <c r="X114" s="276"/>
      <c r="Y114" s="276"/>
      <c r="Z114" s="276"/>
      <c r="AA114" s="276"/>
      <c r="AB114" s="286">
        <f>108126.49</f>
      </c>
      <c r="AC114" s="286"/>
    </row>
    <row r="115" spans="1:29" s="1" customFormat="1" ht="13.5" customHeight="1">
      <c r="A115" s="256" t="s">
        <v>100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8" t="s">
        <v>89</v>
      </c>
      <c r="M115" s="258"/>
      <c r="N115" s="258"/>
      <c r="O115" s="258" t="s">
        <v>177</v>
      </c>
      <c r="P115" s="258"/>
      <c r="Q115" s="258"/>
      <c r="R115" s="267" t="s">
        <v>102</v>
      </c>
      <c r="S115" s="267"/>
      <c r="T115" s="276">
        <f>31000</f>
      </c>
      <c r="U115" s="276"/>
      <c r="V115" s="276"/>
      <c r="W115" s="276">
        <f>30071.2</f>
      </c>
      <c r="X115" s="276"/>
      <c r="Y115" s="276"/>
      <c r="Z115" s="276"/>
      <c r="AA115" s="276"/>
      <c r="AB115" s="286">
        <f>928.8</f>
      </c>
      <c r="AC115" s="286"/>
    </row>
    <row r="116" spans="1:29" s="1" customFormat="1" ht="15" customHeight="1">
      <c r="A116" s="297" t="s">
        <v>178</v>
      </c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9" t="s">
        <v>179</v>
      </c>
      <c r="M116" s="299"/>
      <c r="N116" s="299"/>
      <c r="O116" s="299" t="s">
        <v>36</v>
      </c>
      <c r="P116" s="299"/>
      <c r="Q116" s="299"/>
      <c r="R116" s="308" t="s">
        <v>36</v>
      </c>
      <c r="S116" s="308"/>
      <c r="T116" s="317">
        <f>-561382.89</f>
      </c>
      <c r="U116" s="317"/>
      <c r="V116" s="317"/>
      <c r="W116" s="317">
        <f>1157593.81</f>
      </c>
      <c r="X116" s="317"/>
      <c r="Y116" s="317"/>
      <c r="Z116" s="317"/>
      <c r="AA116" s="317"/>
      <c r="AB116" s="326" t="s">
        <v>36</v>
      </c>
      <c r="AC116" s="326"/>
    </row>
    <row r="117" spans="1:29" s="1" customFormat="1" ht="13.5" customHeight="1">
      <c r="A117" s="55" t="s">
        <v>10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s="1" customFormat="1" ht="13.5" customHeight="1">
      <c r="A118" s="90" t="s">
        <v>180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</row>
    <row r="119" spans="1:29" s="1" customFormat="1" ht="45.75" customHeight="1">
      <c r="A119" s="102" t="s">
        <v>22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 t="s">
        <v>23</v>
      </c>
      <c r="N119" s="102"/>
      <c r="O119" s="102"/>
      <c r="P119" s="102" t="s">
        <v>181</v>
      </c>
      <c r="Q119" s="102"/>
      <c r="R119" s="102"/>
      <c r="S119" s="114" t="s">
        <v>25</v>
      </c>
      <c r="T119" s="114"/>
      <c r="U119" s="114"/>
      <c r="V119" s="114" t="s">
        <v>26</v>
      </c>
      <c r="W119" s="114"/>
      <c r="X119" s="114"/>
      <c r="Y119" s="114"/>
      <c r="Z119" s="114"/>
      <c r="AA119" s="125" t="s">
        <v>27</v>
      </c>
      <c r="AB119" s="125"/>
      <c r="AC119" s="125"/>
    </row>
    <row r="120" spans="1:29" s="1" customFormat="1" ht="12.75" customHeight="1">
      <c r="A120" s="135" t="s">
        <v>28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 t="s">
        <v>29</v>
      </c>
      <c r="N120" s="135"/>
      <c r="O120" s="135"/>
      <c r="P120" s="135" t="s">
        <v>30</v>
      </c>
      <c r="Q120" s="135"/>
      <c r="R120" s="135"/>
      <c r="S120" s="145" t="s">
        <v>31</v>
      </c>
      <c r="T120" s="145"/>
      <c r="U120" s="145"/>
      <c r="V120" s="145" t="s">
        <v>32</v>
      </c>
      <c r="W120" s="145"/>
      <c r="X120" s="145"/>
      <c r="Y120" s="145"/>
      <c r="Z120" s="145"/>
      <c r="AA120" s="155" t="s">
        <v>33</v>
      </c>
      <c r="AB120" s="155"/>
      <c r="AC120" s="155"/>
    </row>
    <row r="121" spans="1:29" s="1" customFormat="1" ht="13.5" customHeight="1">
      <c r="A121" s="163" t="s">
        <v>182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5" t="s">
        <v>183</v>
      </c>
      <c r="N121" s="165"/>
      <c r="O121" s="165"/>
      <c r="P121" s="165" t="s">
        <v>36</v>
      </c>
      <c r="Q121" s="165"/>
      <c r="R121" s="165"/>
      <c r="S121" s="338">
        <f>561382.89</f>
      </c>
      <c r="T121" s="338"/>
      <c r="U121" s="338"/>
      <c r="V121" s="174">
        <f>-1157593.81</f>
      </c>
      <c r="W121" s="174"/>
      <c r="X121" s="174"/>
      <c r="Y121" s="174"/>
      <c r="Z121" s="174"/>
      <c r="AA121" s="349" t="s">
        <v>36</v>
      </c>
      <c r="AB121" s="349"/>
      <c r="AC121" s="349"/>
    </row>
    <row r="122" spans="1:29" s="1" customFormat="1" ht="13.5" customHeight="1">
      <c r="A122" s="357" t="s">
        <v>184</v>
      </c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9" t="s">
        <v>10</v>
      </c>
      <c r="N122" s="359"/>
      <c r="O122" s="359"/>
      <c r="P122" s="359" t="s">
        <v>10</v>
      </c>
      <c r="Q122" s="359"/>
      <c r="R122" s="359"/>
      <c r="S122" s="367" t="s">
        <v>10</v>
      </c>
      <c r="T122" s="367"/>
      <c r="U122" s="367"/>
      <c r="V122" s="375" t="s">
        <v>10</v>
      </c>
      <c r="W122" s="375"/>
      <c r="X122" s="375"/>
      <c r="Y122" s="375"/>
      <c r="Z122" s="375"/>
      <c r="AA122" s="383" t="s">
        <v>10</v>
      </c>
      <c r="AB122" s="383"/>
      <c r="AC122" s="383"/>
    </row>
    <row r="123" spans="1:29" s="1" customFormat="1" ht="13.5" customHeight="1">
      <c r="A123" s="192" t="s">
        <v>185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391" t="s">
        <v>186</v>
      </c>
      <c r="N123" s="391"/>
      <c r="O123" s="391"/>
      <c r="P123" s="194" t="s">
        <v>36</v>
      </c>
      <c r="Q123" s="194"/>
      <c r="R123" s="194"/>
      <c r="S123" s="399" t="s">
        <v>45</v>
      </c>
      <c r="T123" s="399"/>
      <c r="U123" s="399"/>
      <c r="V123" s="222" t="s">
        <v>45</v>
      </c>
      <c r="W123" s="222"/>
      <c r="X123" s="222"/>
      <c r="Y123" s="222"/>
      <c r="Z123" s="222"/>
      <c r="AA123" s="407" t="s">
        <v>45</v>
      </c>
      <c r="AB123" s="407"/>
      <c r="AC123" s="407"/>
    </row>
    <row r="124" spans="1:29" s="1" customFormat="1" ht="13.5" customHeight="1">
      <c r="A124" s="267" t="s">
        <v>10</v>
      </c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</row>
    <row r="125" spans="1:29" s="1" customFormat="1" ht="13.5" customHeight="1">
      <c r="A125" s="256" t="s">
        <v>187</v>
      </c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359" t="s">
        <v>188</v>
      </c>
      <c r="N125" s="359"/>
      <c r="O125" s="359"/>
      <c r="P125" s="359" t="s">
        <v>36</v>
      </c>
      <c r="Q125" s="359"/>
      <c r="R125" s="359"/>
      <c r="S125" s="367" t="s">
        <v>45</v>
      </c>
      <c r="T125" s="367"/>
      <c r="U125" s="367"/>
      <c r="V125" s="288" t="s">
        <v>45</v>
      </c>
      <c r="W125" s="288"/>
      <c r="X125" s="288"/>
      <c r="Y125" s="288"/>
      <c r="Z125" s="288"/>
      <c r="AA125" s="383" t="s">
        <v>45</v>
      </c>
      <c r="AB125" s="383"/>
      <c r="AC125" s="383"/>
    </row>
    <row r="126" spans="1:29" s="1" customFormat="1" ht="13.5" customHeight="1">
      <c r="A126" s="256" t="s">
        <v>10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8" t="s">
        <v>188</v>
      </c>
      <c r="N126" s="258"/>
      <c r="O126" s="258"/>
      <c r="P126" s="258" t="s">
        <v>10</v>
      </c>
      <c r="Q126" s="258"/>
      <c r="R126" s="258"/>
      <c r="S126" s="416" t="s">
        <v>45</v>
      </c>
      <c r="T126" s="416"/>
      <c r="U126" s="416"/>
      <c r="V126" s="288" t="s">
        <v>45</v>
      </c>
      <c r="W126" s="288"/>
      <c r="X126" s="288"/>
      <c r="Y126" s="288"/>
      <c r="Z126" s="288"/>
      <c r="AA126" s="425" t="s">
        <v>45</v>
      </c>
      <c r="AB126" s="425"/>
      <c r="AC126" s="425"/>
    </row>
    <row r="127" spans="1:29" s="1" customFormat="1" ht="13.5" customHeight="1">
      <c r="A127" s="256" t="s">
        <v>189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8" t="s">
        <v>190</v>
      </c>
      <c r="N127" s="258"/>
      <c r="O127" s="258"/>
      <c r="P127" s="258" t="s">
        <v>191</v>
      </c>
      <c r="Q127" s="258"/>
      <c r="R127" s="258"/>
      <c r="S127" s="434">
        <f>561382.89</f>
      </c>
      <c r="T127" s="434"/>
      <c r="U127" s="434"/>
      <c r="V127" s="276">
        <f>-1157593.81</f>
      </c>
      <c r="W127" s="276"/>
      <c r="X127" s="276"/>
      <c r="Y127" s="276"/>
      <c r="Z127" s="276"/>
      <c r="AA127" s="443">
        <f>1718976.7</f>
      </c>
      <c r="AB127" s="443"/>
      <c r="AC127" s="443"/>
    </row>
    <row r="128" spans="1:29" s="1" customFormat="1" ht="13.5" customHeight="1">
      <c r="A128" s="256" t="s">
        <v>192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8" t="s">
        <v>193</v>
      </c>
      <c r="N128" s="258"/>
      <c r="O128" s="258"/>
      <c r="P128" s="258" t="s">
        <v>194</v>
      </c>
      <c r="Q128" s="258"/>
      <c r="R128" s="258"/>
      <c r="S128" s="434">
        <f>-56216194.54</f>
      </c>
      <c r="T128" s="434"/>
      <c r="U128" s="434"/>
      <c r="V128" s="276">
        <f>-21147087.55</f>
      </c>
      <c r="W128" s="276"/>
      <c r="X128" s="276"/>
      <c r="Y128" s="276"/>
      <c r="Z128" s="276"/>
      <c r="AA128" s="445" t="s">
        <v>36</v>
      </c>
      <c r="AB128" s="445"/>
      <c r="AC128" s="445"/>
    </row>
    <row r="129" spans="1:29" s="1" customFormat="1" ht="13.5" customHeight="1">
      <c r="A129" s="256" t="s">
        <v>195</v>
      </c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8" t="s">
        <v>196</v>
      </c>
      <c r="N129" s="258"/>
      <c r="O129" s="258"/>
      <c r="P129" s="258" t="s">
        <v>197</v>
      </c>
      <c r="Q129" s="258"/>
      <c r="R129" s="258"/>
      <c r="S129" s="434">
        <f>56777577.43</f>
      </c>
      <c r="T129" s="434"/>
      <c r="U129" s="434"/>
      <c r="V129" s="276">
        <f>19989493.74</f>
      </c>
      <c r="W129" s="276"/>
      <c r="X129" s="276"/>
      <c r="Y129" s="276"/>
      <c r="Z129" s="276"/>
      <c r="AA129" s="445" t="s">
        <v>36</v>
      </c>
      <c r="AB129" s="445"/>
      <c r="AC129" s="445"/>
    </row>
    <row r="130" spans="1:29" s="1" customFormat="1" ht="13.5" customHeight="1">
      <c r="A130" s="447" t="s">
        <v>10</v>
      </c>
      <c r="B130" s="447"/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</row>
    <row r="131" spans="1:29" s="1" customFormat="1" ht="13.5" customHeight="1">
      <c r="A131" s="55" t="s">
        <v>198</v>
      </c>
      <c r="B131" s="55"/>
      <c r="C131" s="55"/>
      <c r="D131" s="55"/>
      <c r="E131" s="55"/>
      <c r="F131" s="55"/>
      <c r="G131" s="55"/>
      <c r="H131" s="55"/>
      <c r="I131" s="446" t="s">
        <v>10</v>
      </c>
      <c r="J131" s="446"/>
      <c r="K131" s="446"/>
      <c r="L131" s="446"/>
      <c r="M131" s="446"/>
      <c r="N131" s="446"/>
      <c r="O131" s="446"/>
      <c r="P131" s="446" t="s">
        <v>199</v>
      </c>
      <c r="Q131" s="446"/>
      <c r="R131" s="446"/>
      <c r="S131" s="446"/>
      <c r="T131" s="446"/>
      <c r="U131" s="55" t="s">
        <v>10</v>
      </c>
      <c r="V131" s="55"/>
      <c r="W131" s="55"/>
      <c r="X131" s="55"/>
      <c r="Y131" s="55"/>
      <c r="Z131" s="55"/>
      <c r="AA131" s="55"/>
      <c r="AB131" s="55"/>
      <c r="AC131" s="55"/>
    </row>
    <row r="132" spans="1:29" s="1" customFormat="1" ht="13.5" customHeight="1">
      <c r="A132" s="55" t="s">
        <v>10</v>
      </c>
      <c r="B132" s="55"/>
      <c r="C132" s="55"/>
      <c r="D132" s="55"/>
      <c r="E132" s="55"/>
      <c r="F132" s="55"/>
      <c r="G132" s="55"/>
      <c r="H132" s="55"/>
      <c r="I132" s="79" t="s">
        <v>10</v>
      </c>
      <c r="J132" s="455" t="s">
        <v>200</v>
      </c>
      <c r="K132" s="455"/>
      <c r="L132" s="455"/>
      <c r="M132" s="455"/>
      <c r="N132" s="55" t="s">
        <v>10</v>
      </c>
      <c r="O132" s="55"/>
      <c r="P132" s="79" t="s">
        <v>10</v>
      </c>
      <c r="Q132" s="455" t="s">
        <v>201</v>
      </c>
      <c r="R132" s="455"/>
      <c r="S132" s="455"/>
      <c r="T132" s="55" t="s">
        <v>10</v>
      </c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s="1" customFormat="1" ht="7.5" customHeight="1">
      <c r="A133" s="55" t="s">
        <v>10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</row>
    <row r="134" spans="1:29" s="1" customFormat="1" ht="13.5" customHeight="1">
      <c r="A134" s="55" t="s">
        <v>10</v>
      </c>
      <c r="B134" s="55"/>
      <c r="C134" s="55"/>
      <c r="D134" s="55"/>
      <c r="E134" s="55"/>
      <c r="F134" s="55"/>
      <c r="G134" s="55"/>
      <c r="H134" s="55"/>
      <c r="I134" s="446" t="s">
        <v>10</v>
      </c>
      <c r="J134" s="446"/>
      <c r="K134" s="446"/>
      <c r="L134" s="446"/>
      <c r="M134" s="446"/>
      <c r="N134" s="446"/>
      <c r="O134" s="446"/>
      <c r="P134" s="446" t="s">
        <v>202</v>
      </c>
      <c r="Q134" s="446"/>
      <c r="R134" s="446"/>
      <c r="S134" s="446"/>
      <c r="T134" s="446"/>
      <c r="U134" s="55" t="s">
        <v>10</v>
      </c>
      <c r="V134" s="55"/>
      <c r="W134" s="55"/>
      <c r="X134" s="55"/>
      <c r="Y134" s="55"/>
      <c r="Z134" s="55"/>
      <c r="AA134" s="55"/>
      <c r="AB134" s="55"/>
      <c r="AC134" s="55"/>
    </row>
    <row r="135" spans="1:29" s="1" customFormat="1" ht="13.5" customHeight="1">
      <c r="A135" s="55" t="s">
        <v>10</v>
      </c>
      <c r="B135" s="55"/>
      <c r="C135" s="55"/>
      <c r="D135" s="55"/>
      <c r="E135" s="55"/>
      <c r="F135" s="55"/>
      <c r="G135" s="55"/>
      <c r="H135" s="55"/>
      <c r="I135" s="79" t="s">
        <v>10</v>
      </c>
      <c r="J135" s="455" t="s">
        <v>200</v>
      </c>
      <c r="K135" s="455"/>
      <c r="L135" s="455"/>
      <c r="M135" s="455"/>
      <c r="N135" s="55" t="s">
        <v>10</v>
      </c>
      <c r="O135" s="55"/>
      <c r="P135" s="79" t="s">
        <v>10</v>
      </c>
      <c r="Q135" s="455" t="s">
        <v>201</v>
      </c>
      <c r="R135" s="455"/>
      <c r="S135" s="455"/>
      <c r="T135" s="55" t="s">
        <v>10</v>
      </c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s="1" customFormat="1" ht="7.5" customHeight="1">
      <c r="A136" s="55" t="s">
        <v>10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s="1" customFormat="1" ht="13.5" customHeight="1">
      <c r="A137" s="55" t="s">
        <v>203</v>
      </c>
      <c r="B137" s="55"/>
      <c r="C137" s="446" t="s">
        <v>10</v>
      </c>
      <c r="D137" s="446"/>
      <c r="E137" s="446"/>
      <c r="F137" s="446"/>
      <c r="G137" s="446"/>
      <c r="H137" s="446"/>
      <c r="I137" s="446" t="s">
        <v>10</v>
      </c>
      <c r="J137" s="446"/>
      <c r="K137" s="446"/>
      <c r="L137" s="446"/>
      <c r="M137" s="446"/>
      <c r="N137" s="446"/>
      <c r="O137" s="446"/>
      <c r="P137" s="446" t="s">
        <v>202</v>
      </c>
      <c r="Q137" s="446"/>
      <c r="R137" s="446"/>
      <c r="S137" s="446"/>
      <c r="T137" s="446"/>
      <c r="U137" s="55" t="s">
        <v>10</v>
      </c>
      <c r="V137" s="55"/>
      <c r="W137" s="55"/>
      <c r="X137" s="55"/>
      <c r="Y137" s="55"/>
      <c r="Z137" s="55"/>
      <c r="AA137" s="55"/>
      <c r="AB137" s="55"/>
      <c r="AC137" s="55"/>
    </row>
    <row r="138" spans="1:29" s="1" customFormat="1" ht="13.5" customHeight="1">
      <c r="A138" s="55" t="s">
        <v>10</v>
      </c>
      <c r="B138" s="55"/>
      <c r="C138" s="79" t="s">
        <v>10</v>
      </c>
      <c r="D138" s="455" t="s">
        <v>204</v>
      </c>
      <c r="E138" s="455"/>
      <c r="F138" s="455"/>
      <c r="G138" s="455"/>
      <c r="H138" s="79" t="s">
        <v>10</v>
      </c>
      <c r="I138" s="79" t="s">
        <v>10</v>
      </c>
      <c r="J138" s="455" t="s">
        <v>200</v>
      </c>
      <c r="K138" s="455"/>
      <c r="L138" s="455"/>
      <c r="M138" s="455"/>
      <c r="N138" s="55" t="s">
        <v>10</v>
      </c>
      <c r="O138" s="55"/>
      <c r="P138" s="79" t="s">
        <v>10</v>
      </c>
      <c r="Q138" s="455" t="s">
        <v>201</v>
      </c>
      <c r="R138" s="455"/>
      <c r="S138" s="455"/>
      <c r="T138" s="55" t="s">
        <v>10</v>
      </c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s="1" customFormat="1" ht="15.75" customHeight="1">
      <c r="A139" s="55" t="s">
        <v>10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s="1" customFormat="1" ht="13.5" customHeight="1">
      <c r="A140" s="457" t="s">
        <v>205</v>
      </c>
      <c r="B140" s="457"/>
      <c r="C140" s="457"/>
      <c r="D140" s="457"/>
      <c r="E140" s="457"/>
      <c r="F140" s="457"/>
      <c r="G140" s="457"/>
      <c r="H140" s="457"/>
      <c r="I140" s="457"/>
      <c r="J140" s="457"/>
      <c r="K140" s="55" t="s">
        <v>10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</sheetData>
  <mergeCells count="825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AC36"/>
    <mergeCell ref="A37:AC37"/>
    <mergeCell ref="A38:K38"/>
    <mergeCell ref="L38:N38"/>
    <mergeCell ref="O38:Q38"/>
    <mergeCell ref="R38:S38"/>
    <mergeCell ref="T38:V38"/>
    <mergeCell ref="W38:AA38"/>
    <mergeCell ref="AB38:AC38"/>
    <mergeCell ref="A39:K39"/>
    <mergeCell ref="L39:N39"/>
    <mergeCell ref="O39:Q39"/>
    <mergeCell ref="R39:S39"/>
    <mergeCell ref="T39:V39"/>
    <mergeCell ref="W39:AA39"/>
    <mergeCell ref="AB39:AC39"/>
    <mergeCell ref="A40:K40"/>
    <mergeCell ref="L40:N40"/>
    <mergeCell ref="O40:Q40"/>
    <mergeCell ref="R40:S40"/>
    <mergeCell ref="T40:V40"/>
    <mergeCell ref="W40:AA40"/>
    <mergeCell ref="AB40:AC40"/>
    <mergeCell ref="A41:K41"/>
    <mergeCell ref="L41:N41"/>
    <mergeCell ref="O41:Q41"/>
    <mergeCell ref="R41:S41"/>
    <mergeCell ref="T41:V41"/>
    <mergeCell ref="W41:AA41"/>
    <mergeCell ref="AB41:AC41"/>
    <mergeCell ref="A42:K42"/>
    <mergeCell ref="L42:N42"/>
    <mergeCell ref="O42:Q42"/>
    <mergeCell ref="R42:S42"/>
    <mergeCell ref="T42:V42"/>
    <mergeCell ref="W42:AA42"/>
    <mergeCell ref="AB42:AC42"/>
    <mergeCell ref="A43:K43"/>
    <mergeCell ref="L43:N43"/>
    <mergeCell ref="O43:Q43"/>
    <mergeCell ref="R43:S43"/>
    <mergeCell ref="T43:V43"/>
    <mergeCell ref="W43:AA43"/>
    <mergeCell ref="AB43:AC43"/>
    <mergeCell ref="A44:K44"/>
    <mergeCell ref="L44:N44"/>
    <mergeCell ref="O44:Q44"/>
    <mergeCell ref="R44:S44"/>
    <mergeCell ref="T44:V44"/>
    <mergeCell ref="W44:AA44"/>
    <mergeCell ref="AB44:AC44"/>
    <mergeCell ref="A45:K45"/>
    <mergeCell ref="L45:N45"/>
    <mergeCell ref="O45:Q45"/>
    <mergeCell ref="R45:S45"/>
    <mergeCell ref="T45:V45"/>
    <mergeCell ref="W45:AA45"/>
    <mergeCell ref="AB45:AC45"/>
    <mergeCell ref="A46:K46"/>
    <mergeCell ref="L46:N46"/>
    <mergeCell ref="O46:Q46"/>
    <mergeCell ref="R46:S46"/>
    <mergeCell ref="T46:V46"/>
    <mergeCell ref="W46:AA46"/>
    <mergeCell ref="AB46:AC46"/>
    <mergeCell ref="A47:K47"/>
    <mergeCell ref="L47:N47"/>
    <mergeCell ref="O47:Q47"/>
    <mergeCell ref="R47:S47"/>
    <mergeCell ref="T47:V47"/>
    <mergeCell ref="W47:AA47"/>
    <mergeCell ref="AB47:AC47"/>
    <mergeCell ref="A48:K48"/>
    <mergeCell ref="L48:N48"/>
    <mergeCell ref="O48:Q48"/>
    <mergeCell ref="R48:S48"/>
    <mergeCell ref="T48:V48"/>
    <mergeCell ref="W48:AA48"/>
    <mergeCell ref="AB48:AC48"/>
    <mergeCell ref="A49:K49"/>
    <mergeCell ref="L49:N49"/>
    <mergeCell ref="O49:Q49"/>
    <mergeCell ref="R49:S49"/>
    <mergeCell ref="T49:V49"/>
    <mergeCell ref="W49:AA49"/>
    <mergeCell ref="AB49:AC49"/>
    <mergeCell ref="A50:K50"/>
    <mergeCell ref="L50:N50"/>
    <mergeCell ref="O50:Q50"/>
    <mergeCell ref="R50:S50"/>
    <mergeCell ref="T50:V50"/>
    <mergeCell ref="W50:AA50"/>
    <mergeCell ref="AB50:AC50"/>
    <mergeCell ref="A51:K51"/>
    <mergeCell ref="L51:N51"/>
    <mergeCell ref="O51:Q51"/>
    <mergeCell ref="R51:S51"/>
    <mergeCell ref="T51:V51"/>
    <mergeCell ref="W51:AA51"/>
    <mergeCell ref="AB51:AC51"/>
    <mergeCell ref="A52:K52"/>
    <mergeCell ref="L52:N52"/>
    <mergeCell ref="O52:Q52"/>
    <mergeCell ref="R52:S52"/>
    <mergeCell ref="T52:V52"/>
    <mergeCell ref="W52:AA52"/>
    <mergeCell ref="AB52:AC52"/>
    <mergeCell ref="A53:K53"/>
    <mergeCell ref="L53:N53"/>
    <mergeCell ref="O53:Q53"/>
    <mergeCell ref="R53:S53"/>
    <mergeCell ref="T53:V53"/>
    <mergeCell ref="W53:AA53"/>
    <mergeCell ref="AB53:AC53"/>
    <mergeCell ref="A54:K54"/>
    <mergeCell ref="L54:N54"/>
    <mergeCell ref="O54:Q54"/>
    <mergeCell ref="R54:S54"/>
    <mergeCell ref="T54:V54"/>
    <mergeCell ref="W54:AA54"/>
    <mergeCell ref="AB54:AC54"/>
    <mergeCell ref="A55:K55"/>
    <mergeCell ref="L55:N55"/>
    <mergeCell ref="O55:Q55"/>
    <mergeCell ref="R55:S55"/>
    <mergeCell ref="T55:V55"/>
    <mergeCell ref="W55:AA55"/>
    <mergeCell ref="AB55:AC55"/>
    <mergeCell ref="A56:K56"/>
    <mergeCell ref="L56:N56"/>
    <mergeCell ref="O56:Q56"/>
    <mergeCell ref="R56:S56"/>
    <mergeCell ref="T56:V56"/>
    <mergeCell ref="W56:AA56"/>
    <mergeCell ref="AB56:AC56"/>
    <mergeCell ref="A57:K57"/>
    <mergeCell ref="L57:N57"/>
    <mergeCell ref="O57:Q57"/>
    <mergeCell ref="R57:S57"/>
    <mergeCell ref="T57:V57"/>
    <mergeCell ref="W57:AA57"/>
    <mergeCell ref="AB57:AC57"/>
    <mergeCell ref="A58:K58"/>
    <mergeCell ref="L58:N58"/>
    <mergeCell ref="O58:Q58"/>
    <mergeCell ref="R58:S58"/>
    <mergeCell ref="T58:V58"/>
    <mergeCell ref="W58:AA58"/>
    <mergeCell ref="AB58:AC58"/>
    <mergeCell ref="A59:K59"/>
    <mergeCell ref="L59:N59"/>
    <mergeCell ref="O59:Q59"/>
    <mergeCell ref="R59:S59"/>
    <mergeCell ref="T59:V59"/>
    <mergeCell ref="W59:AA59"/>
    <mergeCell ref="AB59:AC59"/>
    <mergeCell ref="A60:K60"/>
    <mergeCell ref="L60:N60"/>
    <mergeCell ref="O60:Q60"/>
    <mergeCell ref="R60:S60"/>
    <mergeCell ref="T60:V60"/>
    <mergeCell ref="W60:AA60"/>
    <mergeCell ref="AB60:AC60"/>
    <mergeCell ref="A61:K61"/>
    <mergeCell ref="L61:N61"/>
    <mergeCell ref="O61:Q61"/>
    <mergeCell ref="R61:S61"/>
    <mergeCell ref="T61:V61"/>
    <mergeCell ref="W61:AA61"/>
    <mergeCell ref="AB61:AC61"/>
    <mergeCell ref="A62:K62"/>
    <mergeCell ref="L62:N62"/>
    <mergeCell ref="O62:Q62"/>
    <mergeCell ref="R62:S62"/>
    <mergeCell ref="T62:V62"/>
    <mergeCell ref="W62:AA62"/>
    <mergeCell ref="AB62:AC62"/>
    <mergeCell ref="A63:K63"/>
    <mergeCell ref="L63:N63"/>
    <mergeCell ref="O63:Q63"/>
    <mergeCell ref="R63:S63"/>
    <mergeCell ref="T63:V63"/>
    <mergeCell ref="W63:AA63"/>
    <mergeCell ref="AB63:AC63"/>
    <mergeCell ref="A64:K64"/>
    <mergeCell ref="L64:N64"/>
    <mergeCell ref="O64:Q64"/>
    <mergeCell ref="R64:S64"/>
    <mergeCell ref="T64:V64"/>
    <mergeCell ref="W64:AA64"/>
    <mergeCell ref="AB64:AC64"/>
    <mergeCell ref="A65:K65"/>
    <mergeCell ref="L65:N65"/>
    <mergeCell ref="O65:Q65"/>
    <mergeCell ref="R65:S65"/>
    <mergeCell ref="T65:V65"/>
    <mergeCell ref="W65:AA65"/>
    <mergeCell ref="AB65:AC65"/>
    <mergeCell ref="A66:K66"/>
    <mergeCell ref="L66:N66"/>
    <mergeCell ref="O66:Q66"/>
    <mergeCell ref="R66:S66"/>
    <mergeCell ref="T66:V66"/>
    <mergeCell ref="W66:AA66"/>
    <mergeCell ref="AB66:AC66"/>
    <mergeCell ref="A67:K67"/>
    <mergeCell ref="L67:N67"/>
    <mergeCell ref="O67:Q67"/>
    <mergeCell ref="R67:S67"/>
    <mergeCell ref="T67:V67"/>
    <mergeCell ref="W67:AA67"/>
    <mergeCell ref="AB67:AC67"/>
    <mergeCell ref="A68:K68"/>
    <mergeCell ref="L68:N68"/>
    <mergeCell ref="O68:Q68"/>
    <mergeCell ref="R68:S68"/>
    <mergeCell ref="T68:V68"/>
    <mergeCell ref="W68:AA68"/>
    <mergeCell ref="AB68:AC68"/>
    <mergeCell ref="A69:K69"/>
    <mergeCell ref="L69:N69"/>
    <mergeCell ref="O69:Q69"/>
    <mergeCell ref="R69:S69"/>
    <mergeCell ref="T69:V69"/>
    <mergeCell ref="W69:AA69"/>
    <mergeCell ref="AB69:AC69"/>
    <mergeCell ref="A70:K70"/>
    <mergeCell ref="L70:N70"/>
    <mergeCell ref="O70:Q70"/>
    <mergeCell ref="R70:S70"/>
    <mergeCell ref="T70:V70"/>
    <mergeCell ref="W70:AA70"/>
    <mergeCell ref="AB70:AC70"/>
    <mergeCell ref="A71:K71"/>
    <mergeCell ref="L71:N71"/>
    <mergeCell ref="O71:Q71"/>
    <mergeCell ref="R71:S71"/>
    <mergeCell ref="T71:V71"/>
    <mergeCell ref="W71:AA71"/>
    <mergeCell ref="AB71:AC71"/>
    <mergeCell ref="A72:K72"/>
    <mergeCell ref="L72:N72"/>
    <mergeCell ref="O72:Q72"/>
    <mergeCell ref="R72:S72"/>
    <mergeCell ref="T72:V72"/>
    <mergeCell ref="W72:AA72"/>
    <mergeCell ref="AB72:AC72"/>
    <mergeCell ref="A73:K73"/>
    <mergeCell ref="L73:N73"/>
    <mergeCell ref="O73:Q73"/>
    <mergeCell ref="R73:S73"/>
    <mergeCell ref="T73:V73"/>
    <mergeCell ref="W73:AA73"/>
    <mergeCell ref="AB73:AC73"/>
    <mergeCell ref="A74:K74"/>
    <mergeCell ref="L74:N74"/>
    <mergeCell ref="O74:Q74"/>
    <mergeCell ref="R74:S74"/>
    <mergeCell ref="T74:V74"/>
    <mergeCell ref="W74:AA74"/>
    <mergeCell ref="AB74:AC74"/>
    <mergeCell ref="A75:K75"/>
    <mergeCell ref="L75:N75"/>
    <mergeCell ref="O75:Q75"/>
    <mergeCell ref="R75:S75"/>
    <mergeCell ref="T75:V75"/>
    <mergeCell ref="W75:AA75"/>
    <mergeCell ref="AB75:AC75"/>
    <mergeCell ref="A76:K76"/>
    <mergeCell ref="L76:N76"/>
    <mergeCell ref="O76:Q76"/>
    <mergeCell ref="R76:S76"/>
    <mergeCell ref="T76:V76"/>
    <mergeCell ref="W76:AA76"/>
    <mergeCell ref="AB76:AC76"/>
    <mergeCell ref="A77:K77"/>
    <mergeCell ref="L77:N77"/>
    <mergeCell ref="O77:Q77"/>
    <mergeCell ref="R77:S77"/>
    <mergeCell ref="T77:V77"/>
    <mergeCell ref="W77:AA77"/>
    <mergeCell ref="AB77:AC77"/>
    <mergeCell ref="A78:K78"/>
    <mergeCell ref="L78:N78"/>
    <mergeCell ref="O78:Q78"/>
    <mergeCell ref="R78:S78"/>
    <mergeCell ref="T78:V78"/>
    <mergeCell ref="W78:AA78"/>
    <mergeCell ref="AB78:AC78"/>
    <mergeCell ref="A79:K79"/>
    <mergeCell ref="L79:N79"/>
    <mergeCell ref="O79:Q79"/>
    <mergeCell ref="R79:S79"/>
    <mergeCell ref="T79:V79"/>
    <mergeCell ref="W79:AA79"/>
    <mergeCell ref="AB79:AC79"/>
    <mergeCell ref="A80:K80"/>
    <mergeCell ref="L80:N80"/>
    <mergeCell ref="O80:Q80"/>
    <mergeCell ref="R80:S80"/>
    <mergeCell ref="T80:V80"/>
    <mergeCell ref="W80:AA80"/>
    <mergeCell ref="AB80:AC80"/>
    <mergeCell ref="A81:K81"/>
    <mergeCell ref="L81:N81"/>
    <mergeCell ref="O81:Q81"/>
    <mergeCell ref="R81:S81"/>
    <mergeCell ref="T81:V81"/>
    <mergeCell ref="W81:AA81"/>
    <mergeCell ref="AB81:AC81"/>
    <mergeCell ref="A82:K82"/>
    <mergeCell ref="L82:N82"/>
    <mergeCell ref="O82:Q82"/>
    <mergeCell ref="R82:S82"/>
    <mergeCell ref="T82:V82"/>
    <mergeCell ref="W82:AA82"/>
    <mergeCell ref="AB82:AC82"/>
    <mergeCell ref="A83:K83"/>
    <mergeCell ref="L83:N83"/>
    <mergeCell ref="O83:Q83"/>
    <mergeCell ref="R83:S83"/>
    <mergeCell ref="T83:V83"/>
    <mergeCell ref="W83:AA83"/>
    <mergeCell ref="AB83:AC83"/>
    <mergeCell ref="A84:K84"/>
    <mergeCell ref="L84:N84"/>
    <mergeCell ref="O84:Q84"/>
    <mergeCell ref="R84:S84"/>
    <mergeCell ref="T84:V84"/>
    <mergeCell ref="W84:AA84"/>
    <mergeCell ref="AB84:AC84"/>
    <mergeCell ref="A85:K85"/>
    <mergeCell ref="L85:N85"/>
    <mergeCell ref="O85:Q85"/>
    <mergeCell ref="R85:S85"/>
    <mergeCell ref="T85:V85"/>
    <mergeCell ref="W85:AA85"/>
    <mergeCell ref="AB85:AC85"/>
    <mergeCell ref="A86:K86"/>
    <mergeCell ref="L86:N86"/>
    <mergeCell ref="O86:Q86"/>
    <mergeCell ref="R86:S86"/>
    <mergeCell ref="T86:V86"/>
    <mergeCell ref="W86:AA86"/>
    <mergeCell ref="AB86:AC86"/>
    <mergeCell ref="A87:K87"/>
    <mergeCell ref="L87:N87"/>
    <mergeCell ref="O87:Q87"/>
    <mergeCell ref="R87:S87"/>
    <mergeCell ref="T87:V87"/>
    <mergeCell ref="W87:AA87"/>
    <mergeCell ref="AB87:AC87"/>
    <mergeCell ref="A88:K88"/>
    <mergeCell ref="L88:N88"/>
    <mergeCell ref="O88:Q88"/>
    <mergeCell ref="R88:S88"/>
    <mergeCell ref="T88:V88"/>
    <mergeCell ref="W88:AA88"/>
    <mergeCell ref="AB88:AC88"/>
    <mergeCell ref="A89:K89"/>
    <mergeCell ref="L89:N89"/>
    <mergeCell ref="O89:Q89"/>
    <mergeCell ref="R89:S89"/>
    <mergeCell ref="T89:V89"/>
    <mergeCell ref="W89:AA89"/>
    <mergeCell ref="AB89:AC89"/>
    <mergeCell ref="A90:K90"/>
    <mergeCell ref="L90:N90"/>
    <mergeCell ref="O90:Q90"/>
    <mergeCell ref="R90:S90"/>
    <mergeCell ref="T90:V90"/>
    <mergeCell ref="W90:AA90"/>
    <mergeCell ref="AB90:AC90"/>
    <mergeCell ref="A91:K91"/>
    <mergeCell ref="L91:N91"/>
    <mergeCell ref="O91:Q91"/>
    <mergeCell ref="R91:S91"/>
    <mergeCell ref="T91:V91"/>
    <mergeCell ref="W91:AA91"/>
    <mergeCell ref="AB91:AC91"/>
    <mergeCell ref="A92:K92"/>
    <mergeCell ref="L92:N92"/>
    <mergeCell ref="O92:Q92"/>
    <mergeCell ref="R92:S92"/>
    <mergeCell ref="T92:V92"/>
    <mergeCell ref="W92:AA92"/>
    <mergeCell ref="AB92:AC92"/>
    <mergeCell ref="A93:K93"/>
    <mergeCell ref="L93:N93"/>
    <mergeCell ref="O93:Q93"/>
    <mergeCell ref="R93:S93"/>
    <mergeCell ref="T93:V93"/>
    <mergeCell ref="W93:AA93"/>
    <mergeCell ref="AB93:AC93"/>
    <mergeCell ref="A94:K94"/>
    <mergeCell ref="L94:N94"/>
    <mergeCell ref="O94:Q94"/>
    <mergeCell ref="R94:S94"/>
    <mergeCell ref="T94:V94"/>
    <mergeCell ref="W94:AA94"/>
    <mergeCell ref="AB94:AC94"/>
    <mergeCell ref="A95:K95"/>
    <mergeCell ref="L95:N95"/>
    <mergeCell ref="O95:Q95"/>
    <mergeCell ref="R95:S95"/>
    <mergeCell ref="T95:V95"/>
    <mergeCell ref="W95:AA95"/>
    <mergeCell ref="AB95:AC95"/>
    <mergeCell ref="A96:K96"/>
    <mergeCell ref="L96:N96"/>
    <mergeCell ref="O96:Q96"/>
    <mergeCell ref="R96:S96"/>
    <mergeCell ref="T96:V96"/>
    <mergeCell ref="W96:AA96"/>
    <mergeCell ref="AB96:AC96"/>
    <mergeCell ref="A97:K97"/>
    <mergeCell ref="L97:N97"/>
    <mergeCell ref="O97:Q97"/>
    <mergeCell ref="R97:S97"/>
    <mergeCell ref="T97:V97"/>
    <mergeCell ref="W97:AA97"/>
    <mergeCell ref="AB97:AC97"/>
    <mergeCell ref="A98:K98"/>
    <mergeCell ref="L98:N98"/>
    <mergeCell ref="O98:Q98"/>
    <mergeCell ref="R98:S98"/>
    <mergeCell ref="T98:V98"/>
    <mergeCell ref="W98:AA98"/>
    <mergeCell ref="AB98:AC98"/>
    <mergeCell ref="A99:K99"/>
    <mergeCell ref="L99:N99"/>
    <mergeCell ref="O99:Q99"/>
    <mergeCell ref="R99:S99"/>
    <mergeCell ref="T99:V99"/>
    <mergeCell ref="W99:AA99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7:AC117"/>
    <mergeCell ref="A118:AC118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L121"/>
    <mergeCell ref="M121:O121"/>
    <mergeCell ref="P121:R121"/>
    <mergeCell ref="S121:U121"/>
    <mergeCell ref="V121:Z121"/>
    <mergeCell ref="AA121:AC121"/>
    <mergeCell ref="A122:L122"/>
    <mergeCell ref="M122:O122"/>
    <mergeCell ref="P122:R122"/>
    <mergeCell ref="S122:U122"/>
    <mergeCell ref="V122:Z122"/>
    <mergeCell ref="AA122:AC122"/>
    <mergeCell ref="A123:L123"/>
    <mergeCell ref="M123:O123"/>
    <mergeCell ref="P123:R123"/>
    <mergeCell ref="S123:U123"/>
    <mergeCell ref="V123:Z123"/>
    <mergeCell ref="AA123:AC123"/>
    <mergeCell ref="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L127"/>
    <mergeCell ref="M127:O127"/>
    <mergeCell ref="P127:R127"/>
    <mergeCell ref="S127:U127"/>
    <mergeCell ref="V127:Z127"/>
    <mergeCell ref="AA127:AC127"/>
    <mergeCell ref="A128:L128"/>
    <mergeCell ref="M128:O128"/>
    <mergeCell ref="P128:R128"/>
    <mergeCell ref="S128:U128"/>
    <mergeCell ref="V128:Z128"/>
    <mergeCell ref="AA128:AC128"/>
    <mergeCell ref="A129:L129"/>
    <mergeCell ref="M129:O129"/>
    <mergeCell ref="P129:R129"/>
    <mergeCell ref="S129:U129"/>
    <mergeCell ref="V129:Z129"/>
    <mergeCell ref="AA129:AC129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33:AC133"/>
    <mergeCell ref="A134:H134"/>
    <mergeCell ref="I134:O134"/>
    <mergeCell ref="P134:T134"/>
    <mergeCell ref="U134:AC134"/>
    <mergeCell ref="A135:H135"/>
    <mergeCell ref="J135:M135"/>
    <mergeCell ref="N135:O135"/>
    <mergeCell ref="Q135:S135"/>
    <mergeCell ref="T135:AC135"/>
    <mergeCell ref="A136:AC136"/>
    <mergeCell ref="A137:B137"/>
    <mergeCell ref="C137:H137"/>
    <mergeCell ref="I137:O137"/>
    <mergeCell ref="P137:T137"/>
    <mergeCell ref="U137:AC137"/>
    <mergeCell ref="A138:B138"/>
    <mergeCell ref="D138:G138"/>
    <mergeCell ref="J138:M138"/>
    <mergeCell ref="N138:O138"/>
    <mergeCell ref="Q138:S138"/>
    <mergeCell ref="T138:AC138"/>
    <mergeCell ref="A139:AC139"/>
    <mergeCell ref="A140:J140"/>
    <mergeCell ref="K140:AC14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