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S12" i="1"/>
  <c r="V12"/>
  <c r="AA12"/>
  <c r="S13"/>
  <c r="V13"/>
  <c r="AA13"/>
  <c r="S14"/>
  <c r="V14"/>
  <c r="AA14"/>
  <c r="S15"/>
  <c r="V15"/>
  <c r="AA15"/>
  <c r="V16"/>
  <c r="S17"/>
  <c r="V17"/>
  <c r="AA17"/>
  <c r="S18"/>
  <c r="V18"/>
  <c r="AA18"/>
  <c r="S19"/>
  <c r="V19"/>
  <c r="AA19"/>
  <c r="S20"/>
  <c r="V20"/>
  <c r="AA20"/>
  <c r="S21"/>
  <c r="V21"/>
  <c r="AA21"/>
  <c r="V22"/>
  <c r="S23"/>
  <c r="V23"/>
  <c r="AA23"/>
  <c r="S24"/>
  <c r="AA24"/>
  <c r="S25"/>
  <c r="V25"/>
  <c r="AA25"/>
  <c r="S26"/>
  <c r="V26"/>
  <c r="AA26"/>
  <c r="V27"/>
  <c r="S28"/>
  <c r="V28"/>
  <c r="AA28"/>
  <c r="S29"/>
  <c r="V29"/>
  <c r="AA29"/>
  <c r="S30"/>
  <c r="V30"/>
  <c r="AA30"/>
  <c r="S31"/>
  <c r="V31"/>
  <c r="AA31"/>
  <c r="S32"/>
  <c r="V32"/>
  <c r="AA32"/>
  <c r="T37"/>
  <c r="W37"/>
  <c r="AB37"/>
  <c r="T38"/>
  <c r="W38"/>
  <c r="AB38"/>
  <c r="T39"/>
  <c r="W39"/>
  <c r="AB39"/>
  <c r="T40"/>
  <c r="W40"/>
  <c r="AB40"/>
  <c r="T41"/>
  <c r="W41"/>
  <c r="AB41"/>
  <c r="T42"/>
  <c r="W42"/>
  <c r="AB42"/>
  <c r="T43"/>
  <c r="W43"/>
  <c r="AB43"/>
  <c r="T44"/>
  <c r="AB44"/>
  <c r="T45"/>
  <c r="AB45"/>
  <c r="T46"/>
  <c r="W46"/>
  <c r="AB46"/>
  <c r="T47"/>
  <c r="AB47"/>
  <c r="T48"/>
  <c r="AB48"/>
  <c r="T49"/>
  <c r="AB49"/>
  <c r="T50"/>
  <c r="W50"/>
  <c r="AB50"/>
  <c r="T51"/>
  <c r="W51"/>
  <c r="AB51"/>
  <c r="T52"/>
  <c r="AB52"/>
  <c r="T53"/>
  <c r="W53"/>
  <c r="AB53"/>
  <c r="T54"/>
  <c r="W54"/>
  <c r="AB54"/>
  <c r="T55"/>
  <c r="W55"/>
  <c r="AB55"/>
  <c r="T56"/>
  <c r="W56"/>
  <c r="AB56"/>
  <c r="T57"/>
  <c r="W57"/>
  <c r="AB57"/>
  <c r="T58"/>
  <c r="W58"/>
  <c r="AB58"/>
  <c r="T59"/>
  <c r="AB59"/>
  <c r="T60"/>
  <c r="W60"/>
  <c r="AB60"/>
  <c r="T61"/>
  <c r="W61"/>
  <c r="AB61"/>
  <c r="T62"/>
  <c r="W62"/>
  <c r="AB62"/>
  <c r="T63"/>
  <c r="AB63"/>
  <c r="T64"/>
  <c r="W64"/>
  <c r="AB64"/>
  <c r="T65"/>
  <c r="W65"/>
  <c r="AB65"/>
  <c r="T66"/>
  <c r="W66"/>
  <c r="AB66"/>
  <c r="T67"/>
  <c r="W67"/>
  <c r="AB67"/>
  <c r="T68"/>
  <c r="AB68"/>
  <c r="T69"/>
  <c r="AB69"/>
  <c r="T70"/>
  <c r="W70"/>
  <c r="AB70"/>
  <c r="T71"/>
  <c r="W71"/>
  <c r="AB71"/>
  <c r="T72"/>
  <c r="W72"/>
  <c r="AB72"/>
  <c r="T73"/>
  <c r="AB73"/>
  <c r="T74"/>
  <c r="AB74"/>
  <c r="T75"/>
  <c r="W75"/>
  <c r="AB75"/>
  <c r="T76"/>
  <c r="W76"/>
  <c r="AB76"/>
  <c r="T77"/>
  <c r="W77"/>
  <c r="AB77"/>
  <c r="T78"/>
  <c r="AB78"/>
  <c r="T79"/>
  <c r="AB79"/>
  <c r="T80"/>
  <c r="AB80"/>
  <c r="T81"/>
  <c r="AB81"/>
  <c r="T82"/>
  <c r="W82"/>
  <c r="AB82"/>
  <c r="T83"/>
  <c r="W83"/>
  <c r="AB83"/>
  <c r="T84"/>
  <c r="AB84"/>
  <c r="T85"/>
  <c r="AB85"/>
  <c r="T86"/>
  <c r="W86"/>
  <c r="AB86"/>
  <c r="T87"/>
  <c r="AB87"/>
  <c r="T88"/>
  <c r="AB88"/>
  <c r="T89"/>
  <c r="W89"/>
  <c r="AB89"/>
  <c r="T90"/>
  <c r="AB90"/>
  <c r="T91"/>
  <c r="AB91"/>
  <c r="T92"/>
  <c r="W92"/>
  <c r="AB92"/>
  <c r="T93"/>
  <c r="W93"/>
  <c r="AB93"/>
  <c r="T94"/>
  <c r="W94"/>
  <c r="AB94"/>
  <c r="T95"/>
  <c r="W95"/>
  <c r="AB95"/>
  <c r="T96"/>
  <c r="W96"/>
  <c r="AB96"/>
  <c r="T97"/>
  <c r="AB97"/>
  <c r="T98"/>
  <c r="W98"/>
  <c r="AB98"/>
  <c r="T99"/>
  <c r="AB99"/>
  <c r="T100"/>
  <c r="AB100"/>
  <c r="T101"/>
  <c r="W101"/>
  <c r="AB101"/>
  <c r="T102"/>
  <c r="W102"/>
  <c r="AB102"/>
  <c r="T103"/>
  <c r="W103"/>
  <c r="AB103"/>
  <c r="T104"/>
  <c r="W104"/>
  <c r="AB104"/>
  <c r="T105"/>
  <c r="AB105"/>
  <c r="T106"/>
  <c r="W106"/>
  <c r="AB106"/>
  <c r="T107"/>
  <c r="W107"/>
  <c r="AB107"/>
  <c r="T108"/>
  <c r="AB108"/>
  <c r="T109"/>
  <c r="W109"/>
  <c r="S114"/>
  <c r="V114"/>
  <c r="S120"/>
  <c r="V120"/>
  <c r="AA120"/>
  <c r="S121"/>
  <c r="V121"/>
  <c r="S122"/>
  <c r="V122"/>
</calcChain>
</file>

<file path=xl/sharedStrings.xml><?xml version="1.0" encoding="utf-8"?>
<sst xmlns="http://schemas.openxmlformats.org/spreadsheetml/2006/main" count="540" uniqueCount="198">
  <si>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</si>
  <si>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</si>
  <si>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</si>
  <si>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</si>
  <si>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</si>
  <si>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</si>
  <si>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</si>
  <si>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Администрация сельского поселения п.Малый Атлым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</si>
  <si>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</si>
  <si>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</si>
  <si>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</si>
  <si>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</si>
  <si>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</si>
  <si>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</si>
  <si>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</si>
  <si>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</si>
  <si>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</si>
  <si>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</si>
  <si>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</si>
  <si>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</si>
  <si>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</si>
  <si>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</si>
  <si>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</si>
  <si>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</si>
  <si>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</si>
  <si>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</si>
  <si>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</si>
  <si>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</si>
  <si>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</si>
  <si>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</si>
  <si>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</si>
  <si>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</si>
  <si>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</si>
  <si>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</si>
  <si>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</si>
  <si>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</si>
  <si>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</si>
  <si>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</si>
  <si>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</si>
  <si>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</si>
  <si>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</si>
  <si>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</si>
  <si>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</si>
  <si>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</si>
  <si>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</si>
  <si>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</si>
  <si>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</si>
  <si>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</si>
  <si>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</si>
  <si>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</si>
  <si>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</si>
  <si>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</si>
  <si>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</si>
  <si>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</si>
  <si>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</si>
  <si>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</si>
  <si>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</si>
  <si>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</si>
  <si>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</si>
  <si>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</si>
  <si>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</si>
  <si>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650 11107015 10 0000 120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</si>
  <si>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</si>
  <si>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</si>
  <si>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</si>
  <si>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</si>
  <si>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</si>
  <si>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</si>
  <si>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</si>
  <si>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</si>
  <si>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</si>
  <si>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</si>
  <si>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</si>
  <si>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</si>
  <si>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</si>
  <si>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</si>
  <si>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</si>
  <si>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</si>
  <si>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</si>
  <si>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</si>
  <si>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</si>
  <si>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</si>
  <si>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</si>
  <si>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</si>
  <si>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</si>
  <si>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</si>
  <si>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</si>
  <si>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</si>
  <si>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</si>
  <si>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</si>
  <si>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</si>
  <si>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</si>
  <si>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</si>
  <si>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650 0104 4010002040 129</t>
  </si>
  <si>
    <t>Иные расходы</t>
  </si>
  <si>
    <t>650 0107 4010099990 244</t>
  </si>
  <si>
    <t>296</t>
  </si>
  <si>
    <t>650 0111 4080020210 870</t>
  </si>
  <si>
    <t>Прочие работы, услуги</t>
  </si>
  <si>
    <t>650 0113 4010002400 244</t>
  </si>
  <si>
    <t>226</t>
  </si>
  <si>
    <t>Налоги, пошлины и сборы</t>
  </si>
  <si>
    <t>650 0113 4010002400 851</t>
  </si>
  <si>
    <t>291</t>
  </si>
  <si>
    <t>650 0113 4010002400 852</t>
  </si>
  <si>
    <t>650 0113 4010002400 853</t>
  </si>
  <si>
    <t>Штрафы за нарушение законодательства о налогах и сборах, законодательства о страховых взносах</t>
  </si>
  <si>
    <t>292</t>
  </si>
  <si>
    <t>Прочие выплаты</t>
  </si>
  <si>
    <t>650 0113 4010099990 122</t>
  </si>
  <si>
    <t>212</t>
  </si>
  <si>
    <t>Транспортные услуги</t>
  </si>
  <si>
    <t>222</t>
  </si>
  <si>
    <t>Услуги связи</t>
  </si>
  <si>
    <t>650 0113 4010099990 244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</si>
  <si>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</si>
  <si>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</si>
  <si>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</si>
  <si>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</si>
  <si>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</si>
  <si>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</si>
  <si>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</si>
  <si>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</si>
  <si>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</si>
  <si>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</si>
  <si>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</si>
  <si>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</si>
  <si>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</si>
  <si>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650 0203 4040051180 122</t>
  </si>
  <si>
    <t>650 0203 4040051180 129</t>
  </si>
  <si>
    <t>650 0203 4040051180 244</t>
  </si>
  <si>
    <t>650 0304 1210159300 121</t>
  </si>
  <si>
    <t>650 0304 1210159300 129</t>
  </si>
  <si>
    <t>650 0309 1400199990 244</t>
  </si>
  <si>
    <t>650 0309 4020099990 244</t>
  </si>
  <si>
    <t>650 0401 1930185060 111</t>
  </si>
  <si>
    <t>650 0401 1930185060 119</t>
  </si>
  <si>
    <t>650 0401 19301S5060 111</t>
  </si>
  <si>
    <t>650 0401 19301S5060 119</t>
  </si>
  <si>
    <t>Безвозмездные перечисления организациям, за исключением государственных и муниципальных организаций</t>
  </si>
  <si>
    <t>650 0408 4030061100 811</t>
  </si>
  <si>
    <t>242</t>
  </si>
  <si>
    <t>650 0409 1110182390 244</t>
  </si>
  <si>
    <t>650 0409 11101S2390 244</t>
  </si>
  <si>
    <t>650 0409 4030099990 244</t>
  </si>
  <si>
    <t>650 0410 4010002400 244</t>
  </si>
  <si>
    <t>650 0501 4060099990 243</t>
  </si>
  <si>
    <t>650 0501 4060099990 244</t>
  </si>
  <si>
    <t>650 0502 1010182591 243</t>
  </si>
  <si>
    <t>650 0503 10601R5550 244</t>
  </si>
  <si>
    <t>650 0503 4060099990 244</t>
  </si>
  <si>
    <t>650 0801 0310182520 244</t>
  </si>
  <si>
    <t>650 0801 03101S2520 244</t>
  </si>
  <si>
    <t>650 0801 4070000590 111</t>
  </si>
  <si>
    <t>650 0801 4070000590 112</t>
  </si>
  <si>
    <t>650 0801 4070000590 119</t>
  </si>
  <si>
    <t>650 0801 4070000590 244</t>
  </si>
  <si>
    <t>650 0801 4070000590 851</t>
  </si>
  <si>
    <t>650 0801 4070000590 852</t>
  </si>
  <si>
    <t>650 0801 4070000590 853</t>
  </si>
  <si>
    <t>650 0801 4070020700 244</t>
  </si>
  <si>
    <t>650 0801 4070020700 360</t>
  </si>
  <si>
    <t>Пенсии, пособия, выплачиваемые организациями сектора государственного управления</t>
  </si>
  <si>
    <t>650 1001 4010071600 312</t>
  </si>
  <si>
    <t>263</t>
  </si>
  <si>
    <t>650 1101 0410120800 244</t>
  </si>
  <si>
    <t>650 1101 4100000590 111</t>
  </si>
  <si>
    <t>650 1101 4100000590 119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</si>
  <si>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</si>
  <si>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</si>
  <si>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</si>
  <si>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</si>
  <si>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</si>
  <si>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</si>
  <si>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</si>
  <si>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</si>
  <si>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</si>
  <si>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</si>
  <si>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</si>
  <si>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</si>
  <si>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</si>
  <si>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</si>
  <si>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</si>
  <si>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</si>
  <si>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</si>
  <si>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020 01050201 10 0000 510</t>
  </si>
  <si>
    <t xml:space="preserve">     уменьшение остатков средств</t>
  </si>
  <si>
    <t>720</t>
  </si>
  <si>
    <t>020 01050201 10 0000 610</t>
  </si>
  <si>
    <t>Глава сельского поселения</t>
  </si>
  <si>
    <t>Дейнеко С. В.</t>
  </si>
  <si>
    <t>(подпись)</t>
  </si>
  <si>
    <t>(расшифровка подписи)</t>
  </si>
  <si>
    <t>Бешенцева Н. В.</t>
  </si>
  <si>
    <t>Исполнитель:</t>
  </si>
  <si>
    <t>(должность)</t>
  </si>
  <si>
    <t xml:space="preserve">   28 мая 2018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</si>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</sst>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C134"/>
  <sheetViews>
    <sheetView tabSelected="1" workbookViewId="0">
      <selection sqref="A1:AB1"/>
    </sheetView>
  </sheetViews>
  <sheetFormatPr defaultRowHeight="12.75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43191</v>
      </c>
    </row>
    <row r="4" spans="1:29" s="1" customFormat="1" ht="14.1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4.1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4.1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4.1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5.1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9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4.1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53927665.49</f>
        <v>53927665.490000002</v>
      </c>
      <c r="T12" s="21"/>
      <c r="U12" s="21"/>
      <c r="V12" s="21">
        <f>13088325.03</f>
        <v>13088325.029999999</v>
      </c>
      <c r="W12" s="21"/>
      <c r="X12" s="21"/>
      <c r="Y12" s="21"/>
      <c r="Z12" s="21"/>
      <c r="AA12" s="22">
        <f>40839340.46</f>
        <v>40839340.460000001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1783700</f>
        <v>1783700</v>
      </c>
      <c r="T13" s="25"/>
      <c r="U13" s="25"/>
      <c r="V13" s="25">
        <f>555701.73</f>
        <v>555701.73</v>
      </c>
      <c r="W13" s="25"/>
      <c r="X13" s="25"/>
      <c r="Y13" s="25"/>
      <c r="Z13" s="25"/>
      <c r="AA13" s="26">
        <f>1227998.27</f>
        <v>1227998.27</v>
      </c>
      <c r="AB13" s="26"/>
      <c r="AC13" s="26"/>
    </row>
    <row r="14" spans="1:29" s="1" customFormat="1" ht="54.9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52500</f>
        <v>52500</v>
      </c>
      <c r="T14" s="25"/>
      <c r="U14" s="25"/>
      <c r="V14" s="25">
        <f>3746.07</f>
        <v>3746.07</v>
      </c>
      <c r="W14" s="25"/>
      <c r="X14" s="25"/>
      <c r="Y14" s="25"/>
      <c r="Z14" s="25"/>
      <c r="AA14" s="26">
        <f>48753.93</f>
        <v>48753.93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3410000</f>
        <v>3410000</v>
      </c>
      <c r="T15" s="25"/>
      <c r="U15" s="25"/>
      <c r="V15" s="25">
        <f>905189.75</f>
        <v>905189.75</v>
      </c>
      <c r="W15" s="25"/>
      <c r="X15" s="25"/>
      <c r="Y15" s="25"/>
      <c r="Z15" s="25"/>
      <c r="AA15" s="26">
        <f>2504810.25</f>
        <v>2504810.25</v>
      </c>
      <c r="AB15" s="26"/>
      <c r="AC15" s="26"/>
    </row>
    <row r="16" spans="1:29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7" t="s">
        <v>45</v>
      </c>
      <c r="T16" s="27"/>
      <c r="U16" s="27"/>
      <c r="V16" s="25">
        <f>-115793.63</f>
        <v>-115793.63</v>
      </c>
      <c r="W16" s="25"/>
      <c r="X16" s="25"/>
      <c r="Y16" s="25"/>
      <c r="Z16" s="25"/>
      <c r="AA16" s="28" t="s">
        <v>45</v>
      </c>
      <c r="AB16" s="28"/>
      <c r="AC16" s="28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2250000</f>
        <v>2250000</v>
      </c>
      <c r="T17" s="25"/>
      <c r="U17" s="25"/>
      <c r="V17" s="25">
        <f>564971.83</f>
        <v>564971.82999999996</v>
      </c>
      <c r="W17" s="25"/>
      <c r="X17" s="25"/>
      <c r="Y17" s="25"/>
      <c r="Z17" s="25"/>
      <c r="AA17" s="26">
        <f>1685028.17</f>
        <v>1685028.17</v>
      </c>
      <c r="AB17" s="26"/>
      <c r="AC17" s="26"/>
    </row>
    <row r="18" spans="1:29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76000</f>
        <v>76000</v>
      </c>
      <c r="T18" s="25"/>
      <c r="U18" s="25"/>
      <c r="V18" s="25">
        <f>17969.31</f>
        <v>17969.310000000001</v>
      </c>
      <c r="W18" s="25"/>
      <c r="X18" s="25"/>
      <c r="Y18" s="25"/>
      <c r="Z18" s="25"/>
      <c r="AA18" s="26">
        <f>58030.69</f>
        <v>58030.69</v>
      </c>
      <c r="AB18" s="26"/>
      <c r="AC18" s="26"/>
    </row>
    <row r="19" spans="1:29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180000</f>
        <v>180000</v>
      </c>
      <c r="T19" s="25"/>
      <c r="U19" s="25"/>
      <c r="V19" s="25">
        <f>61959</f>
        <v>61959</v>
      </c>
      <c r="W19" s="25"/>
      <c r="X19" s="25"/>
      <c r="Y19" s="25"/>
      <c r="Z19" s="25"/>
      <c r="AA19" s="26">
        <f>118041</f>
        <v>118041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42000</f>
        <v>42000</v>
      </c>
      <c r="T20" s="25"/>
      <c r="U20" s="25"/>
      <c r="V20" s="25">
        <f>4544.4</f>
        <v>4544.3999999999996</v>
      </c>
      <c r="W20" s="25"/>
      <c r="X20" s="25"/>
      <c r="Y20" s="25"/>
      <c r="Z20" s="25"/>
      <c r="AA20" s="26">
        <f>37455.6</f>
        <v>37455.599999999999</v>
      </c>
      <c r="AB20" s="26"/>
      <c r="AC20" s="26"/>
    </row>
    <row r="21" spans="1:29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56400</f>
        <v>56400</v>
      </c>
      <c r="T21" s="25"/>
      <c r="U21" s="25"/>
      <c r="V21" s="25">
        <f>2500</f>
        <v>2500</v>
      </c>
      <c r="W21" s="25"/>
      <c r="X21" s="25"/>
      <c r="Y21" s="25"/>
      <c r="Z21" s="25"/>
      <c r="AA21" s="26">
        <f>53900</f>
        <v>53900</v>
      </c>
      <c r="AB21" s="26"/>
      <c r="AC21" s="26"/>
    </row>
    <row r="22" spans="1:29" s="1" customFormat="1" ht="33.950000000000003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7" t="s">
        <v>45</v>
      </c>
      <c r="T22" s="27"/>
      <c r="U22" s="27"/>
      <c r="V22" s="25">
        <f>171000</f>
        <v>171000</v>
      </c>
      <c r="W22" s="25"/>
      <c r="X22" s="25"/>
      <c r="Y22" s="25"/>
      <c r="Z22" s="25"/>
      <c r="AA22" s="28" t="s">
        <v>45</v>
      </c>
      <c r="AB22" s="28"/>
      <c r="AC22" s="28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20000</f>
        <v>20000</v>
      </c>
      <c r="T23" s="25"/>
      <c r="U23" s="25"/>
      <c r="V23" s="25">
        <f>2052</f>
        <v>2052</v>
      </c>
      <c r="W23" s="25"/>
      <c r="X23" s="25"/>
      <c r="Y23" s="25"/>
      <c r="Z23" s="25"/>
      <c r="AA23" s="26">
        <f>17948</f>
        <v>17948</v>
      </c>
      <c r="AB23" s="26"/>
      <c r="AC23" s="26"/>
    </row>
    <row r="24" spans="1:29" s="1" customFormat="1" ht="33.950000000000003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150000</f>
        <v>150000</v>
      </c>
      <c r="T24" s="25"/>
      <c r="U24" s="25"/>
      <c r="V24" s="27" t="s">
        <v>45</v>
      </c>
      <c r="W24" s="27"/>
      <c r="X24" s="27"/>
      <c r="Y24" s="27"/>
      <c r="Z24" s="27"/>
      <c r="AA24" s="26">
        <f>150000</f>
        <v>150000</v>
      </c>
      <c r="AB24" s="26"/>
      <c r="AC24" s="26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50000</f>
        <v>50000</v>
      </c>
      <c r="T25" s="25"/>
      <c r="U25" s="25"/>
      <c r="V25" s="25">
        <f>27083.67</f>
        <v>27083.67</v>
      </c>
      <c r="W25" s="25"/>
      <c r="X25" s="25"/>
      <c r="Y25" s="25"/>
      <c r="Z25" s="25"/>
      <c r="AA25" s="26">
        <f>22916.33</f>
        <v>22916.33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80000</f>
        <v>80000</v>
      </c>
      <c r="T26" s="25"/>
      <c r="U26" s="25"/>
      <c r="V26" s="25">
        <f>25000</f>
        <v>25000</v>
      </c>
      <c r="W26" s="25"/>
      <c r="X26" s="25"/>
      <c r="Y26" s="25"/>
      <c r="Z26" s="25"/>
      <c r="AA26" s="26">
        <f>55000</f>
        <v>55000</v>
      </c>
      <c r="AB26" s="26"/>
      <c r="AC26" s="26"/>
    </row>
    <row r="27" spans="1:29" s="1" customFormat="1" ht="14.1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7" t="s">
        <v>45</v>
      </c>
      <c r="T27" s="27"/>
      <c r="U27" s="27"/>
      <c r="V27" s="25">
        <f>11389.03</f>
        <v>11389.03</v>
      </c>
      <c r="W27" s="25"/>
      <c r="X27" s="25"/>
      <c r="Y27" s="25"/>
      <c r="Z27" s="25"/>
      <c r="AA27" s="28" t="s">
        <v>45</v>
      </c>
      <c r="AB27" s="28"/>
      <c r="AC27" s="28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18303100</f>
        <v>18303100</v>
      </c>
      <c r="T28" s="25"/>
      <c r="U28" s="25"/>
      <c r="V28" s="25">
        <f>3688542.62</f>
        <v>3688542.62</v>
      </c>
      <c r="W28" s="25"/>
      <c r="X28" s="25"/>
      <c r="Y28" s="25"/>
      <c r="Z28" s="25"/>
      <c r="AA28" s="26">
        <f>14614557.38</f>
        <v>14614557.380000001</v>
      </c>
      <c r="AB28" s="26"/>
      <c r="AC28" s="26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23977043</f>
        <v>23977043</v>
      </c>
      <c r="T29" s="25"/>
      <c r="U29" s="25"/>
      <c r="V29" s="25">
        <f>6996939.07</f>
        <v>6996939.0700000003</v>
      </c>
      <c r="W29" s="25"/>
      <c r="X29" s="25"/>
      <c r="Y29" s="25"/>
      <c r="Z29" s="25"/>
      <c r="AA29" s="26">
        <f>16980103.93</f>
        <v>16980103.93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394000</f>
        <v>394000</v>
      </c>
      <c r="T30" s="25"/>
      <c r="U30" s="25"/>
      <c r="V30" s="25">
        <f>64690.95</f>
        <v>64690.95</v>
      </c>
      <c r="W30" s="25"/>
      <c r="X30" s="25"/>
      <c r="Y30" s="25"/>
      <c r="Z30" s="25"/>
      <c r="AA30" s="26">
        <f>329309.05</f>
        <v>329309.05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48000</f>
        <v>48000</v>
      </c>
      <c r="T31" s="25"/>
      <c r="U31" s="25"/>
      <c r="V31" s="25">
        <f>7999.98</f>
        <v>7999.98</v>
      </c>
      <c r="W31" s="25"/>
      <c r="X31" s="25"/>
      <c r="Y31" s="25"/>
      <c r="Z31" s="25"/>
      <c r="AA31" s="26">
        <f>40000.02</f>
        <v>40000.019999999997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3054922.49</f>
        <v>3054922.49</v>
      </c>
      <c r="T32" s="25"/>
      <c r="U32" s="25"/>
      <c r="V32" s="25">
        <f>92839.25</f>
        <v>92839.25</v>
      </c>
      <c r="W32" s="25"/>
      <c r="X32" s="25"/>
      <c r="Y32" s="25"/>
      <c r="Z32" s="25"/>
      <c r="AA32" s="26">
        <f>2962083.24</f>
        <v>2962083.24</v>
      </c>
      <c r="AB32" s="26"/>
      <c r="AC32" s="26"/>
    </row>
    <row r="33" spans="1:29" s="1" customFormat="1" ht="14.1" customHeight="1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1" customFormat="1" ht="14.1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" customFormat="1" ht="35.1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23</v>
      </c>
      <c r="M35" s="13"/>
      <c r="N35" s="13"/>
      <c r="O35" s="13" t="s">
        <v>79</v>
      </c>
      <c r="P35" s="13"/>
      <c r="Q35" s="13"/>
      <c r="R35" s="14" t="s">
        <v>80</v>
      </c>
      <c r="S35" s="14"/>
      <c r="T35" s="14" t="s">
        <v>25</v>
      </c>
      <c r="U35" s="14"/>
      <c r="V35" s="14"/>
      <c r="W35" s="14" t="s">
        <v>26</v>
      </c>
      <c r="X35" s="14"/>
      <c r="Y35" s="14"/>
      <c r="Z35" s="14"/>
      <c r="AA35" s="14"/>
      <c r="AB35" s="15" t="s">
        <v>27</v>
      </c>
      <c r="AC35" s="15"/>
    </row>
    <row r="36" spans="1:29" s="1" customFormat="1" ht="14.1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29</v>
      </c>
      <c r="M36" s="16"/>
      <c r="N36" s="16"/>
      <c r="O36" s="16" t="s">
        <v>30</v>
      </c>
      <c r="P36" s="16"/>
      <c r="Q36" s="16"/>
      <c r="R36" s="17" t="s">
        <v>31</v>
      </c>
      <c r="S36" s="17"/>
      <c r="T36" s="17" t="s">
        <v>32</v>
      </c>
      <c r="U36" s="17"/>
      <c r="V36" s="17"/>
      <c r="W36" s="17" t="s">
        <v>33</v>
      </c>
      <c r="X36" s="17"/>
      <c r="Y36" s="17"/>
      <c r="Z36" s="17"/>
      <c r="AA36" s="17"/>
      <c r="AB36" s="18" t="s">
        <v>81</v>
      </c>
      <c r="AC36" s="18"/>
    </row>
    <row r="37" spans="1:29" s="1" customFormat="1" ht="14.1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83</v>
      </c>
      <c r="M37" s="20"/>
      <c r="N37" s="20"/>
      <c r="O37" s="20" t="s">
        <v>36</v>
      </c>
      <c r="P37" s="20"/>
      <c r="Q37" s="20"/>
      <c r="R37" s="30" t="s">
        <v>36</v>
      </c>
      <c r="S37" s="30"/>
      <c r="T37" s="21">
        <f>54489048.38</f>
        <v>54489048.380000003</v>
      </c>
      <c r="U37" s="21"/>
      <c r="V37" s="21"/>
      <c r="W37" s="21">
        <f>12048005.92</f>
        <v>12048005.92</v>
      </c>
      <c r="X37" s="21"/>
      <c r="Y37" s="21"/>
      <c r="Z37" s="21"/>
      <c r="AA37" s="21"/>
      <c r="AB37" s="22">
        <f>42441042.46</f>
        <v>42441042.460000001</v>
      </c>
      <c r="AC37" s="22"/>
    </row>
    <row r="38" spans="1:29" s="1" customFormat="1" ht="14.1" customHeight="1">
      <c r="A38" s="31" t="s">
        <v>84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83</v>
      </c>
      <c r="M38" s="32"/>
      <c r="N38" s="32"/>
      <c r="O38" s="32" t="s">
        <v>85</v>
      </c>
      <c r="P38" s="32"/>
      <c r="Q38" s="32"/>
      <c r="R38" s="33" t="s">
        <v>86</v>
      </c>
      <c r="S38" s="33"/>
      <c r="T38" s="34">
        <f>1405000</f>
        <v>1405000</v>
      </c>
      <c r="U38" s="34"/>
      <c r="V38" s="34"/>
      <c r="W38" s="34">
        <f>318496.88</f>
        <v>318496.88</v>
      </c>
      <c r="X38" s="34"/>
      <c r="Y38" s="34"/>
      <c r="Z38" s="34"/>
      <c r="AA38" s="34"/>
      <c r="AB38" s="35">
        <f>1086503.12</f>
        <v>1086503.1200000001</v>
      </c>
      <c r="AC38" s="35"/>
    </row>
    <row r="39" spans="1:29" s="1" customFormat="1" ht="14.1" customHeight="1">
      <c r="A39" s="31" t="s">
        <v>87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83</v>
      </c>
      <c r="M39" s="32"/>
      <c r="N39" s="32"/>
      <c r="O39" s="32" t="s">
        <v>88</v>
      </c>
      <c r="P39" s="32"/>
      <c r="Q39" s="32"/>
      <c r="R39" s="33" t="s">
        <v>89</v>
      </c>
      <c r="S39" s="33"/>
      <c r="T39" s="34">
        <f>349000</f>
        <v>349000</v>
      </c>
      <c r="U39" s="34"/>
      <c r="V39" s="34"/>
      <c r="W39" s="34">
        <f>82854.64</f>
        <v>82854.64</v>
      </c>
      <c r="X39" s="34"/>
      <c r="Y39" s="34"/>
      <c r="Z39" s="34"/>
      <c r="AA39" s="34"/>
      <c r="AB39" s="35">
        <f>266145.36</f>
        <v>266145.36</v>
      </c>
      <c r="AC39" s="35"/>
    </row>
    <row r="40" spans="1:29" s="1" customFormat="1" ht="14.1" customHeight="1">
      <c r="A40" s="31" t="s">
        <v>84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83</v>
      </c>
      <c r="M40" s="32"/>
      <c r="N40" s="32"/>
      <c r="O40" s="32" t="s">
        <v>90</v>
      </c>
      <c r="P40" s="32"/>
      <c r="Q40" s="32"/>
      <c r="R40" s="33" t="s">
        <v>86</v>
      </c>
      <c r="S40" s="33"/>
      <c r="T40" s="34">
        <f>1900000</f>
        <v>1900000</v>
      </c>
      <c r="U40" s="34"/>
      <c r="V40" s="34"/>
      <c r="W40" s="34">
        <f>658432.11</f>
        <v>658432.11</v>
      </c>
      <c r="X40" s="34"/>
      <c r="Y40" s="34"/>
      <c r="Z40" s="34"/>
      <c r="AA40" s="34"/>
      <c r="AB40" s="35">
        <f>1241567.89</f>
        <v>1241567.8899999999</v>
      </c>
      <c r="AC40" s="35"/>
    </row>
    <row r="41" spans="1:29" s="1" customFormat="1" ht="14.1" customHeight="1">
      <c r="A41" s="31" t="s">
        <v>87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83</v>
      </c>
      <c r="M41" s="32"/>
      <c r="N41" s="32"/>
      <c r="O41" s="32" t="s">
        <v>91</v>
      </c>
      <c r="P41" s="32"/>
      <c r="Q41" s="32"/>
      <c r="R41" s="33" t="s">
        <v>89</v>
      </c>
      <c r="S41" s="33"/>
      <c r="T41" s="34">
        <f>403700</f>
        <v>403700</v>
      </c>
      <c r="U41" s="34"/>
      <c r="V41" s="34"/>
      <c r="W41" s="34">
        <f>145096.39</f>
        <v>145096.39000000001</v>
      </c>
      <c r="X41" s="34"/>
      <c r="Y41" s="34"/>
      <c r="Z41" s="34"/>
      <c r="AA41" s="34"/>
      <c r="AB41" s="35">
        <f>258603.61</f>
        <v>258603.61</v>
      </c>
      <c r="AC41" s="35"/>
    </row>
    <row r="42" spans="1:29" s="1" customFormat="1" ht="14.1" customHeight="1">
      <c r="A42" s="31" t="s">
        <v>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83</v>
      </c>
      <c r="M42" s="32"/>
      <c r="N42" s="32"/>
      <c r="O42" s="32" t="s">
        <v>92</v>
      </c>
      <c r="P42" s="32"/>
      <c r="Q42" s="32"/>
      <c r="R42" s="33" t="s">
        <v>86</v>
      </c>
      <c r="S42" s="33"/>
      <c r="T42" s="34">
        <f>7370000</f>
        <v>7370000</v>
      </c>
      <c r="U42" s="34"/>
      <c r="V42" s="34"/>
      <c r="W42" s="34">
        <f>2168100.47</f>
        <v>2168100.4700000002</v>
      </c>
      <c r="X42" s="34"/>
      <c r="Y42" s="34"/>
      <c r="Z42" s="34"/>
      <c r="AA42" s="34"/>
      <c r="AB42" s="35">
        <f>5201899.53</f>
        <v>5201899.53</v>
      </c>
      <c r="AC42" s="35"/>
    </row>
    <row r="43" spans="1:29" s="1" customFormat="1" ht="14.1" customHeight="1">
      <c r="A43" s="31" t="s">
        <v>87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83</v>
      </c>
      <c r="M43" s="32"/>
      <c r="N43" s="32"/>
      <c r="O43" s="32" t="s">
        <v>93</v>
      </c>
      <c r="P43" s="32"/>
      <c r="Q43" s="32"/>
      <c r="R43" s="33" t="s">
        <v>89</v>
      </c>
      <c r="S43" s="33"/>
      <c r="T43" s="34">
        <f>1909800</f>
        <v>1909800</v>
      </c>
      <c r="U43" s="34"/>
      <c r="V43" s="34"/>
      <c r="W43" s="34">
        <f>552785.82</f>
        <v>552785.81999999995</v>
      </c>
      <c r="X43" s="34"/>
      <c r="Y43" s="34"/>
      <c r="Z43" s="34"/>
      <c r="AA43" s="34"/>
      <c r="AB43" s="35">
        <f>1357014.18</f>
        <v>1357014.18</v>
      </c>
      <c r="AC43" s="35"/>
    </row>
    <row r="44" spans="1:29" s="1" customFormat="1" ht="14.1" customHeight="1">
      <c r="A44" s="31" t="s">
        <v>94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83</v>
      </c>
      <c r="M44" s="32"/>
      <c r="N44" s="32"/>
      <c r="O44" s="32" t="s">
        <v>95</v>
      </c>
      <c r="P44" s="32"/>
      <c r="Q44" s="32"/>
      <c r="R44" s="33" t="s">
        <v>96</v>
      </c>
      <c r="S44" s="33"/>
      <c r="T44" s="34">
        <f>981500</f>
        <v>981500</v>
      </c>
      <c r="U44" s="34"/>
      <c r="V44" s="34"/>
      <c r="W44" s="36" t="s">
        <v>45</v>
      </c>
      <c r="X44" s="36"/>
      <c r="Y44" s="36"/>
      <c r="Z44" s="36"/>
      <c r="AA44" s="36"/>
      <c r="AB44" s="35">
        <f>981500</f>
        <v>981500</v>
      </c>
      <c r="AC44" s="35"/>
    </row>
    <row r="45" spans="1:29" s="1" customFormat="1" ht="14.1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83</v>
      </c>
      <c r="M45" s="32"/>
      <c r="N45" s="32"/>
      <c r="O45" s="32" t="s">
        <v>97</v>
      </c>
      <c r="P45" s="32"/>
      <c r="Q45" s="32"/>
      <c r="R45" s="33" t="s">
        <v>96</v>
      </c>
      <c r="S45" s="33"/>
      <c r="T45" s="34">
        <f>106000</f>
        <v>106000</v>
      </c>
      <c r="U45" s="34"/>
      <c r="V45" s="34"/>
      <c r="W45" s="36" t="s">
        <v>45</v>
      </c>
      <c r="X45" s="36"/>
      <c r="Y45" s="36"/>
      <c r="Z45" s="36"/>
      <c r="AA45" s="36"/>
      <c r="AB45" s="35">
        <f>106000</f>
        <v>106000</v>
      </c>
      <c r="AC45" s="35"/>
    </row>
    <row r="46" spans="1:29" s="1" customFormat="1" ht="14.1" customHeight="1">
      <c r="A46" s="31" t="s">
        <v>98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83</v>
      </c>
      <c r="M46" s="32"/>
      <c r="N46" s="32"/>
      <c r="O46" s="32" t="s">
        <v>99</v>
      </c>
      <c r="P46" s="32"/>
      <c r="Q46" s="32"/>
      <c r="R46" s="33" t="s">
        <v>100</v>
      </c>
      <c r="S46" s="33"/>
      <c r="T46" s="34">
        <f>99000</f>
        <v>99000</v>
      </c>
      <c r="U46" s="34"/>
      <c r="V46" s="34"/>
      <c r="W46" s="34">
        <f>90000</f>
        <v>90000</v>
      </c>
      <c r="X46" s="34"/>
      <c r="Y46" s="34"/>
      <c r="Z46" s="34"/>
      <c r="AA46" s="34"/>
      <c r="AB46" s="35">
        <f>9000</f>
        <v>9000</v>
      </c>
      <c r="AC46" s="35"/>
    </row>
    <row r="47" spans="1:29" s="1" customFormat="1" ht="14.1" customHeight="1">
      <c r="A47" s="31" t="s">
        <v>101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83</v>
      </c>
      <c r="M47" s="32"/>
      <c r="N47" s="32"/>
      <c r="O47" s="32" t="s">
        <v>102</v>
      </c>
      <c r="P47" s="32"/>
      <c r="Q47" s="32"/>
      <c r="R47" s="33" t="s">
        <v>103</v>
      </c>
      <c r="S47" s="33"/>
      <c r="T47" s="34">
        <f>20000</f>
        <v>20000</v>
      </c>
      <c r="U47" s="34"/>
      <c r="V47" s="34"/>
      <c r="W47" s="36" t="s">
        <v>45</v>
      </c>
      <c r="X47" s="36"/>
      <c r="Y47" s="36"/>
      <c r="Z47" s="36"/>
      <c r="AA47" s="36"/>
      <c r="AB47" s="35">
        <f>20000</f>
        <v>20000</v>
      </c>
      <c r="AC47" s="35"/>
    </row>
    <row r="48" spans="1:29" s="1" customFormat="1" ht="14.1" customHeight="1">
      <c r="A48" s="31" t="s">
        <v>101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83</v>
      </c>
      <c r="M48" s="32"/>
      <c r="N48" s="32"/>
      <c r="O48" s="32" t="s">
        <v>104</v>
      </c>
      <c r="P48" s="32"/>
      <c r="Q48" s="32"/>
      <c r="R48" s="33" t="s">
        <v>103</v>
      </c>
      <c r="S48" s="33"/>
      <c r="T48" s="34">
        <f>20000</f>
        <v>20000</v>
      </c>
      <c r="U48" s="34"/>
      <c r="V48" s="34"/>
      <c r="W48" s="36" t="s">
        <v>45</v>
      </c>
      <c r="X48" s="36"/>
      <c r="Y48" s="36"/>
      <c r="Z48" s="36"/>
      <c r="AA48" s="36"/>
      <c r="AB48" s="35">
        <f>20000</f>
        <v>20000</v>
      </c>
      <c r="AC48" s="35"/>
    </row>
    <row r="49" spans="1:29" s="1" customFormat="1" ht="14.1" customHeight="1">
      <c r="A49" s="31" t="s">
        <v>101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83</v>
      </c>
      <c r="M49" s="32"/>
      <c r="N49" s="32"/>
      <c r="O49" s="32" t="s">
        <v>105</v>
      </c>
      <c r="P49" s="32"/>
      <c r="Q49" s="32"/>
      <c r="R49" s="33" t="s">
        <v>103</v>
      </c>
      <c r="S49" s="33"/>
      <c r="T49" s="34">
        <f>15000</f>
        <v>15000</v>
      </c>
      <c r="U49" s="34"/>
      <c r="V49" s="34"/>
      <c r="W49" s="36" t="s">
        <v>45</v>
      </c>
      <c r="X49" s="36"/>
      <c r="Y49" s="36"/>
      <c r="Z49" s="36"/>
      <c r="AA49" s="36"/>
      <c r="AB49" s="35">
        <f>15000</f>
        <v>15000</v>
      </c>
      <c r="AC49" s="35"/>
    </row>
    <row r="50" spans="1:29" s="1" customFormat="1" ht="24" customHeight="1">
      <c r="A50" s="31" t="s">
        <v>106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83</v>
      </c>
      <c r="M50" s="32"/>
      <c r="N50" s="32"/>
      <c r="O50" s="32" t="s">
        <v>105</v>
      </c>
      <c r="P50" s="32"/>
      <c r="Q50" s="32"/>
      <c r="R50" s="33" t="s">
        <v>107</v>
      </c>
      <c r="S50" s="33"/>
      <c r="T50" s="34">
        <f>20000</f>
        <v>20000</v>
      </c>
      <c r="U50" s="34"/>
      <c r="V50" s="34"/>
      <c r="W50" s="34">
        <f>1610</f>
        <v>1610</v>
      </c>
      <c r="X50" s="34"/>
      <c r="Y50" s="34"/>
      <c r="Z50" s="34"/>
      <c r="AA50" s="34"/>
      <c r="AB50" s="35">
        <f>18390</f>
        <v>18390</v>
      </c>
      <c r="AC50" s="35"/>
    </row>
    <row r="51" spans="1:29" s="1" customFormat="1" ht="14.1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83</v>
      </c>
      <c r="M51" s="32"/>
      <c r="N51" s="32"/>
      <c r="O51" s="32" t="s">
        <v>109</v>
      </c>
      <c r="P51" s="32"/>
      <c r="Q51" s="32"/>
      <c r="R51" s="33" t="s">
        <v>110</v>
      </c>
      <c r="S51" s="33"/>
      <c r="T51" s="34">
        <f>125000</f>
        <v>125000</v>
      </c>
      <c r="U51" s="34"/>
      <c r="V51" s="34"/>
      <c r="W51" s="34">
        <f>10614</f>
        <v>10614</v>
      </c>
      <c r="X51" s="34"/>
      <c r="Y51" s="34"/>
      <c r="Z51" s="34"/>
      <c r="AA51" s="34"/>
      <c r="AB51" s="35">
        <f>114386</f>
        <v>114386</v>
      </c>
      <c r="AC51" s="35"/>
    </row>
    <row r="52" spans="1:29" s="1" customFormat="1" ht="14.1" customHeight="1">
      <c r="A52" s="31" t="s">
        <v>111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83</v>
      </c>
      <c r="M52" s="32"/>
      <c r="N52" s="32"/>
      <c r="O52" s="32" t="s">
        <v>109</v>
      </c>
      <c r="P52" s="32"/>
      <c r="Q52" s="32"/>
      <c r="R52" s="33" t="s">
        <v>112</v>
      </c>
      <c r="S52" s="33"/>
      <c r="T52" s="34">
        <f>5000</f>
        <v>5000</v>
      </c>
      <c r="U52" s="34"/>
      <c r="V52" s="34"/>
      <c r="W52" s="36" t="s">
        <v>45</v>
      </c>
      <c r="X52" s="36"/>
      <c r="Y52" s="36"/>
      <c r="Z52" s="36"/>
      <c r="AA52" s="36"/>
      <c r="AB52" s="35">
        <f>5000</f>
        <v>5000</v>
      </c>
      <c r="AC52" s="35"/>
    </row>
    <row r="53" spans="1:29" s="1" customFormat="1" ht="14.1" customHeight="1">
      <c r="A53" s="31" t="s">
        <v>113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83</v>
      </c>
      <c r="M53" s="32"/>
      <c r="N53" s="32"/>
      <c r="O53" s="32" t="s">
        <v>114</v>
      </c>
      <c r="P53" s="32"/>
      <c r="Q53" s="32"/>
      <c r="R53" s="33" t="s">
        <v>115</v>
      </c>
      <c r="S53" s="33"/>
      <c r="T53" s="34">
        <f>94000</f>
        <v>94000</v>
      </c>
      <c r="U53" s="34"/>
      <c r="V53" s="34"/>
      <c r="W53" s="34">
        <f>22870.47</f>
        <v>22870.47</v>
      </c>
      <c r="X53" s="34"/>
      <c r="Y53" s="34"/>
      <c r="Z53" s="34"/>
      <c r="AA53" s="34"/>
      <c r="AB53" s="35">
        <f>71129.53</f>
        <v>71129.53</v>
      </c>
      <c r="AC53" s="35"/>
    </row>
    <row r="54" spans="1:29" s="1" customFormat="1" ht="14.1" customHeight="1">
      <c r="A54" s="31" t="s">
        <v>116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83</v>
      </c>
      <c r="M54" s="32"/>
      <c r="N54" s="32"/>
      <c r="O54" s="32" t="s">
        <v>114</v>
      </c>
      <c r="P54" s="32"/>
      <c r="Q54" s="32"/>
      <c r="R54" s="33" t="s">
        <v>117</v>
      </c>
      <c r="S54" s="33"/>
      <c r="T54" s="34">
        <f>800000</f>
        <v>800000</v>
      </c>
      <c r="U54" s="34"/>
      <c r="V54" s="34"/>
      <c r="W54" s="34">
        <f>515594.42</f>
        <v>515594.42</v>
      </c>
      <c r="X54" s="34"/>
      <c r="Y54" s="34"/>
      <c r="Z54" s="34"/>
      <c r="AA54" s="34"/>
      <c r="AB54" s="35">
        <f>284405.58</f>
        <v>284405.58</v>
      </c>
      <c r="AC54" s="35"/>
    </row>
    <row r="55" spans="1:29" s="1" customFormat="1" ht="14.1" customHeight="1">
      <c r="A55" s="31" t="s">
        <v>118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83</v>
      </c>
      <c r="M55" s="32"/>
      <c r="N55" s="32"/>
      <c r="O55" s="32" t="s">
        <v>114</v>
      </c>
      <c r="P55" s="32"/>
      <c r="Q55" s="32"/>
      <c r="R55" s="33" t="s">
        <v>119</v>
      </c>
      <c r="S55" s="33"/>
      <c r="T55" s="34">
        <f>46000</f>
        <v>46000</v>
      </c>
      <c r="U55" s="34"/>
      <c r="V55" s="34"/>
      <c r="W55" s="34">
        <f>3960</f>
        <v>3960</v>
      </c>
      <c r="X55" s="34"/>
      <c r="Y55" s="34"/>
      <c r="Z55" s="34"/>
      <c r="AA55" s="34"/>
      <c r="AB55" s="35">
        <f>42040</f>
        <v>42040</v>
      </c>
      <c r="AC55" s="35"/>
    </row>
    <row r="56" spans="1:29" s="1" customFormat="1" ht="14.1" customHeight="1">
      <c r="A56" s="31" t="s">
        <v>98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83</v>
      </c>
      <c r="M56" s="32"/>
      <c r="N56" s="32"/>
      <c r="O56" s="32" t="s">
        <v>114</v>
      </c>
      <c r="P56" s="32"/>
      <c r="Q56" s="32"/>
      <c r="R56" s="33" t="s">
        <v>100</v>
      </c>
      <c r="S56" s="33"/>
      <c r="T56" s="34">
        <f>85000</f>
        <v>85000</v>
      </c>
      <c r="U56" s="34"/>
      <c r="V56" s="34"/>
      <c r="W56" s="34">
        <f>76500</f>
        <v>76500</v>
      </c>
      <c r="X56" s="34"/>
      <c r="Y56" s="34"/>
      <c r="Z56" s="34"/>
      <c r="AA56" s="34"/>
      <c r="AB56" s="35">
        <f>8500</f>
        <v>8500</v>
      </c>
      <c r="AC56" s="35"/>
    </row>
    <row r="57" spans="1:29" s="1" customFormat="1" ht="14.1" customHeight="1">
      <c r="A57" s="31" t="s">
        <v>120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83</v>
      </c>
      <c r="M57" s="32"/>
      <c r="N57" s="32"/>
      <c r="O57" s="32" t="s">
        <v>114</v>
      </c>
      <c r="P57" s="32"/>
      <c r="Q57" s="32"/>
      <c r="R57" s="33" t="s">
        <v>121</v>
      </c>
      <c r="S57" s="33"/>
      <c r="T57" s="34">
        <f>72693</f>
        <v>72693</v>
      </c>
      <c r="U57" s="34"/>
      <c r="V57" s="34"/>
      <c r="W57" s="34">
        <f>72693</f>
        <v>72693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4.1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83</v>
      </c>
      <c r="M58" s="32"/>
      <c r="N58" s="32"/>
      <c r="O58" s="32" t="s">
        <v>114</v>
      </c>
      <c r="P58" s="32"/>
      <c r="Q58" s="32"/>
      <c r="R58" s="33" t="s">
        <v>123</v>
      </c>
      <c r="S58" s="33"/>
      <c r="T58" s="34">
        <f>619233</f>
        <v>619233</v>
      </c>
      <c r="U58" s="34"/>
      <c r="V58" s="34"/>
      <c r="W58" s="34">
        <f>508107</f>
        <v>508107</v>
      </c>
      <c r="X58" s="34"/>
      <c r="Y58" s="34"/>
      <c r="Z58" s="34"/>
      <c r="AA58" s="34"/>
      <c r="AB58" s="35">
        <f>111126</f>
        <v>111126</v>
      </c>
      <c r="AC58" s="35"/>
    </row>
    <row r="59" spans="1:29" s="1" customFormat="1" ht="14.1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83</v>
      </c>
      <c r="M59" s="32"/>
      <c r="N59" s="32"/>
      <c r="O59" s="32" t="s">
        <v>125</v>
      </c>
      <c r="P59" s="32"/>
      <c r="Q59" s="32"/>
      <c r="R59" s="33" t="s">
        <v>126</v>
      </c>
      <c r="S59" s="33"/>
      <c r="T59" s="34">
        <f>37010</f>
        <v>37010</v>
      </c>
      <c r="U59" s="34"/>
      <c r="V59" s="34"/>
      <c r="W59" s="36" t="s">
        <v>45</v>
      </c>
      <c r="X59" s="36"/>
      <c r="Y59" s="36"/>
      <c r="Z59" s="36"/>
      <c r="AA59" s="36"/>
      <c r="AB59" s="35">
        <f>37010</f>
        <v>37010</v>
      </c>
      <c r="AC59" s="35"/>
    </row>
    <row r="60" spans="1:29" s="1" customFormat="1" ht="14.1" customHeight="1">
      <c r="A60" s="31" t="s">
        <v>84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83</v>
      </c>
      <c r="M60" s="32"/>
      <c r="N60" s="32"/>
      <c r="O60" s="32" t="s">
        <v>127</v>
      </c>
      <c r="P60" s="32"/>
      <c r="Q60" s="32"/>
      <c r="R60" s="33" t="s">
        <v>86</v>
      </c>
      <c r="S60" s="33"/>
      <c r="T60" s="34">
        <f>279000</f>
        <v>279000</v>
      </c>
      <c r="U60" s="34"/>
      <c r="V60" s="34"/>
      <c r="W60" s="34">
        <f>45949</f>
        <v>45949</v>
      </c>
      <c r="X60" s="34"/>
      <c r="Y60" s="34"/>
      <c r="Z60" s="34"/>
      <c r="AA60" s="34"/>
      <c r="AB60" s="35">
        <f>233051</f>
        <v>233051</v>
      </c>
      <c r="AC60" s="35"/>
    </row>
    <row r="61" spans="1:29" s="1" customFormat="1" ht="14.1" customHeight="1">
      <c r="A61" s="31" t="s">
        <v>108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83</v>
      </c>
      <c r="M61" s="32"/>
      <c r="N61" s="32"/>
      <c r="O61" s="32" t="s">
        <v>128</v>
      </c>
      <c r="P61" s="32"/>
      <c r="Q61" s="32"/>
      <c r="R61" s="33" t="s">
        <v>110</v>
      </c>
      <c r="S61" s="33"/>
      <c r="T61" s="34">
        <f>15000</f>
        <v>15000</v>
      </c>
      <c r="U61" s="34"/>
      <c r="V61" s="34"/>
      <c r="W61" s="34">
        <f>2068</f>
        <v>2068</v>
      </c>
      <c r="X61" s="34"/>
      <c r="Y61" s="34"/>
      <c r="Z61" s="34"/>
      <c r="AA61" s="34"/>
      <c r="AB61" s="35">
        <f>12932</f>
        <v>12932</v>
      </c>
      <c r="AC61" s="35"/>
    </row>
    <row r="62" spans="1:29" s="1" customFormat="1" ht="14.1" customHeight="1">
      <c r="A62" s="31" t="s">
        <v>87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83</v>
      </c>
      <c r="M62" s="32"/>
      <c r="N62" s="32"/>
      <c r="O62" s="32" t="s">
        <v>129</v>
      </c>
      <c r="P62" s="32"/>
      <c r="Q62" s="32"/>
      <c r="R62" s="33" t="s">
        <v>89</v>
      </c>
      <c r="S62" s="33"/>
      <c r="T62" s="34">
        <f>82000</f>
        <v>82000</v>
      </c>
      <c r="U62" s="34"/>
      <c r="V62" s="34"/>
      <c r="W62" s="34">
        <f>16673.95</f>
        <v>16673.95</v>
      </c>
      <c r="X62" s="34"/>
      <c r="Y62" s="34"/>
      <c r="Z62" s="34"/>
      <c r="AA62" s="34"/>
      <c r="AB62" s="35">
        <f>65326.05</f>
        <v>65326.05</v>
      </c>
      <c r="AC62" s="35"/>
    </row>
    <row r="63" spans="1:29" s="1" customFormat="1" ht="14.1" customHeight="1">
      <c r="A63" s="31" t="s">
        <v>122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83</v>
      </c>
      <c r="M63" s="32"/>
      <c r="N63" s="32"/>
      <c r="O63" s="32" t="s">
        <v>130</v>
      </c>
      <c r="P63" s="32"/>
      <c r="Q63" s="32"/>
      <c r="R63" s="33" t="s">
        <v>123</v>
      </c>
      <c r="S63" s="33"/>
      <c r="T63" s="34">
        <f>18000</f>
        <v>18000</v>
      </c>
      <c r="U63" s="34"/>
      <c r="V63" s="34"/>
      <c r="W63" s="36" t="s">
        <v>45</v>
      </c>
      <c r="X63" s="36"/>
      <c r="Y63" s="36"/>
      <c r="Z63" s="36"/>
      <c r="AA63" s="36"/>
      <c r="AB63" s="35">
        <f>18000</f>
        <v>18000</v>
      </c>
      <c r="AC63" s="35"/>
    </row>
    <row r="64" spans="1:29" s="1" customFormat="1" ht="14.1" customHeight="1">
      <c r="A64" s="31" t="s">
        <v>84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83</v>
      </c>
      <c r="M64" s="32"/>
      <c r="N64" s="32"/>
      <c r="O64" s="32" t="s">
        <v>131</v>
      </c>
      <c r="P64" s="32"/>
      <c r="Q64" s="32"/>
      <c r="R64" s="33" t="s">
        <v>86</v>
      </c>
      <c r="S64" s="33"/>
      <c r="T64" s="34">
        <f>36866.36</f>
        <v>36866.36</v>
      </c>
      <c r="U64" s="34"/>
      <c r="V64" s="34"/>
      <c r="W64" s="34">
        <f>6144.4</f>
        <v>6144.4</v>
      </c>
      <c r="X64" s="34"/>
      <c r="Y64" s="34"/>
      <c r="Z64" s="34"/>
      <c r="AA64" s="34"/>
      <c r="AB64" s="35">
        <f>30721.96</f>
        <v>30721.96</v>
      </c>
      <c r="AC64" s="35"/>
    </row>
    <row r="65" spans="1:29" s="1" customFormat="1" ht="14.1" customHeight="1">
      <c r="A65" s="31" t="s">
        <v>87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83</v>
      </c>
      <c r="M65" s="32"/>
      <c r="N65" s="32"/>
      <c r="O65" s="32" t="s">
        <v>132</v>
      </c>
      <c r="P65" s="32"/>
      <c r="Q65" s="32"/>
      <c r="R65" s="33" t="s">
        <v>89</v>
      </c>
      <c r="S65" s="33"/>
      <c r="T65" s="34">
        <f>11133.64</f>
        <v>11133.64</v>
      </c>
      <c r="U65" s="34"/>
      <c r="V65" s="34"/>
      <c r="W65" s="34">
        <f>1855.58</f>
        <v>1855.58</v>
      </c>
      <c r="X65" s="34"/>
      <c r="Y65" s="34"/>
      <c r="Z65" s="34"/>
      <c r="AA65" s="34"/>
      <c r="AB65" s="35">
        <f>9278.06</f>
        <v>9278.06</v>
      </c>
      <c r="AC65" s="35"/>
    </row>
    <row r="66" spans="1:29" s="1" customFormat="1" ht="14.1" customHeight="1">
      <c r="A66" s="31" t="s">
        <v>122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83</v>
      </c>
      <c r="M66" s="32"/>
      <c r="N66" s="32"/>
      <c r="O66" s="32" t="s">
        <v>133</v>
      </c>
      <c r="P66" s="32"/>
      <c r="Q66" s="32"/>
      <c r="R66" s="33" t="s">
        <v>123</v>
      </c>
      <c r="S66" s="33"/>
      <c r="T66" s="34">
        <f>31500</f>
        <v>31500</v>
      </c>
      <c r="U66" s="34"/>
      <c r="V66" s="34"/>
      <c r="W66" s="34">
        <f>31500</f>
        <v>31500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4.1" customHeight="1">
      <c r="A67" s="31" t="s">
        <v>118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83</v>
      </c>
      <c r="M67" s="32"/>
      <c r="N67" s="32"/>
      <c r="O67" s="32" t="s">
        <v>134</v>
      </c>
      <c r="P67" s="32"/>
      <c r="Q67" s="32"/>
      <c r="R67" s="33" t="s">
        <v>119</v>
      </c>
      <c r="S67" s="33"/>
      <c r="T67" s="34">
        <f>525000</f>
        <v>525000</v>
      </c>
      <c r="U67" s="34"/>
      <c r="V67" s="34"/>
      <c r="W67" s="34">
        <f>54000</f>
        <v>54000</v>
      </c>
      <c r="X67" s="34"/>
      <c r="Y67" s="34"/>
      <c r="Z67" s="34"/>
      <c r="AA67" s="34"/>
      <c r="AB67" s="35">
        <f>471000</f>
        <v>471000</v>
      </c>
      <c r="AC67" s="35"/>
    </row>
    <row r="68" spans="1:29" s="1" customFormat="1" ht="14.1" customHeight="1">
      <c r="A68" s="31" t="s">
        <v>84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83</v>
      </c>
      <c r="M68" s="32"/>
      <c r="N68" s="32"/>
      <c r="O68" s="32" t="s">
        <v>135</v>
      </c>
      <c r="P68" s="32"/>
      <c r="Q68" s="32"/>
      <c r="R68" s="33" t="s">
        <v>86</v>
      </c>
      <c r="S68" s="33"/>
      <c r="T68" s="34">
        <f>72521</f>
        <v>72521</v>
      </c>
      <c r="U68" s="34"/>
      <c r="V68" s="34"/>
      <c r="W68" s="36" t="s">
        <v>45</v>
      </c>
      <c r="X68" s="36"/>
      <c r="Y68" s="36"/>
      <c r="Z68" s="36"/>
      <c r="AA68" s="36"/>
      <c r="AB68" s="35">
        <f>72521</f>
        <v>72521</v>
      </c>
      <c r="AC68" s="35"/>
    </row>
    <row r="69" spans="1:29" s="1" customFormat="1" ht="14.1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83</v>
      </c>
      <c r="M69" s="32"/>
      <c r="N69" s="32"/>
      <c r="O69" s="32" t="s">
        <v>136</v>
      </c>
      <c r="P69" s="32"/>
      <c r="Q69" s="32"/>
      <c r="R69" s="33" t="s">
        <v>89</v>
      </c>
      <c r="S69" s="33"/>
      <c r="T69" s="34">
        <f>21901.49</f>
        <v>21901.49</v>
      </c>
      <c r="U69" s="34"/>
      <c r="V69" s="34"/>
      <c r="W69" s="36" t="s">
        <v>45</v>
      </c>
      <c r="X69" s="36"/>
      <c r="Y69" s="36"/>
      <c r="Z69" s="36"/>
      <c r="AA69" s="36"/>
      <c r="AB69" s="35">
        <f>21901.49</f>
        <v>21901.49</v>
      </c>
      <c r="AC69" s="35"/>
    </row>
    <row r="70" spans="1:29" s="1" customFormat="1" ht="14.1" customHeight="1">
      <c r="A70" s="31" t="s">
        <v>84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83</v>
      </c>
      <c r="M70" s="32"/>
      <c r="N70" s="32"/>
      <c r="O70" s="32" t="s">
        <v>137</v>
      </c>
      <c r="P70" s="32"/>
      <c r="Q70" s="32"/>
      <c r="R70" s="33" t="s">
        <v>86</v>
      </c>
      <c r="S70" s="33"/>
      <c r="T70" s="34">
        <f>395700</f>
        <v>395700</v>
      </c>
      <c r="U70" s="34"/>
      <c r="V70" s="34"/>
      <c r="W70" s="34">
        <f>167510.56</f>
        <v>167510.56</v>
      </c>
      <c r="X70" s="34"/>
      <c r="Y70" s="34"/>
      <c r="Z70" s="34"/>
      <c r="AA70" s="34"/>
      <c r="AB70" s="35">
        <f>228189.44</f>
        <v>228189.44</v>
      </c>
      <c r="AC70" s="35"/>
    </row>
    <row r="71" spans="1:29" s="1" customFormat="1" ht="14.1" customHeight="1">
      <c r="A71" s="31" t="s">
        <v>87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83</v>
      </c>
      <c r="M71" s="32"/>
      <c r="N71" s="32"/>
      <c r="O71" s="32" t="s">
        <v>138</v>
      </c>
      <c r="P71" s="32"/>
      <c r="Q71" s="32"/>
      <c r="R71" s="33" t="s">
        <v>89</v>
      </c>
      <c r="S71" s="33"/>
      <c r="T71" s="34">
        <f>119443</f>
        <v>119443</v>
      </c>
      <c r="U71" s="34"/>
      <c r="V71" s="34"/>
      <c r="W71" s="34">
        <f>50589.38</f>
        <v>50589.38</v>
      </c>
      <c r="X71" s="34"/>
      <c r="Y71" s="34"/>
      <c r="Z71" s="34"/>
      <c r="AA71" s="34"/>
      <c r="AB71" s="35">
        <f>68853.62</f>
        <v>68853.62</v>
      </c>
      <c r="AC71" s="35"/>
    </row>
    <row r="72" spans="1:29" s="1" customFormat="1" ht="24" customHeight="1">
      <c r="A72" s="31" t="s">
        <v>139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83</v>
      </c>
      <c r="M72" s="32"/>
      <c r="N72" s="32"/>
      <c r="O72" s="32" t="s">
        <v>140</v>
      </c>
      <c r="P72" s="32"/>
      <c r="Q72" s="32"/>
      <c r="R72" s="33" t="s">
        <v>141</v>
      </c>
      <c r="S72" s="33"/>
      <c r="T72" s="34">
        <f>2297000</f>
        <v>2297000</v>
      </c>
      <c r="U72" s="34"/>
      <c r="V72" s="34"/>
      <c r="W72" s="34">
        <f>555563.13</f>
        <v>555563.13</v>
      </c>
      <c r="X72" s="34"/>
      <c r="Y72" s="34"/>
      <c r="Z72" s="34"/>
      <c r="AA72" s="34"/>
      <c r="AB72" s="35">
        <f>1741436.87</f>
        <v>1741436.87</v>
      </c>
      <c r="AC72" s="35"/>
    </row>
    <row r="73" spans="1:29" s="1" customFormat="1" ht="14.1" customHeight="1">
      <c r="A73" s="31" t="s">
        <v>118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83</v>
      </c>
      <c r="M73" s="32"/>
      <c r="N73" s="32"/>
      <c r="O73" s="32" t="s">
        <v>142</v>
      </c>
      <c r="P73" s="32"/>
      <c r="Q73" s="32"/>
      <c r="R73" s="33" t="s">
        <v>119</v>
      </c>
      <c r="S73" s="33"/>
      <c r="T73" s="34">
        <f>1596700</f>
        <v>1596700</v>
      </c>
      <c r="U73" s="34"/>
      <c r="V73" s="34"/>
      <c r="W73" s="36" t="s">
        <v>45</v>
      </c>
      <c r="X73" s="36"/>
      <c r="Y73" s="36"/>
      <c r="Z73" s="36"/>
      <c r="AA73" s="36"/>
      <c r="AB73" s="35">
        <f>1596700</f>
        <v>1596700</v>
      </c>
      <c r="AC73" s="35"/>
    </row>
    <row r="74" spans="1:29" s="1" customFormat="1" ht="14.1" customHeight="1">
      <c r="A74" s="31" t="s">
        <v>118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83</v>
      </c>
      <c r="M74" s="32"/>
      <c r="N74" s="32"/>
      <c r="O74" s="32" t="s">
        <v>143</v>
      </c>
      <c r="P74" s="32"/>
      <c r="Q74" s="32"/>
      <c r="R74" s="33" t="s">
        <v>119</v>
      </c>
      <c r="S74" s="33"/>
      <c r="T74" s="34">
        <f>84000</f>
        <v>84000</v>
      </c>
      <c r="U74" s="34"/>
      <c r="V74" s="34"/>
      <c r="W74" s="36" t="s">
        <v>45</v>
      </c>
      <c r="X74" s="36"/>
      <c r="Y74" s="36"/>
      <c r="Z74" s="36"/>
      <c r="AA74" s="36"/>
      <c r="AB74" s="35">
        <f>84000</f>
        <v>84000</v>
      </c>
      <c r="AC74" s="35"/>
    </row>
    <row r="75" spans="1:29" s="1" customFormat="1" ht="14.1" customHeight="1">
      <c r="A75" s="31" t="s">
        <v>118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83</v>
      </c>
      <c r="M75" s="32"/>
      <c r="N75" s="32"/>
      <c r="O75" s="32" t="s">
        <v>144</v>
      </c>
      <c r="P75" s="32"/>
      <c r="Q75" s="32"/>
      <c r="R75" s="33" t="s">
        <v>119</v>
      </c>
      <c r="S75" s="33"/>
      <c r="T75" s="34">
        <f>5546200</f>
        <v>5546200</v>
      </c>
      <c r="U75" s="34"/>
      <c r="V75" s="34"/>
      <c r="W75" s="34">
        <f>954234.39</f>
        <v>954234.39</v>
      </c>
      <c r="X75" s="34"/>
      <c r="Y75" s="34"/>
      <c r="Z75" s="34"/>
      <c r="AA75" s="34"/>
      <c r="AB75" s="35">
        <f>4591965.61</f>
        <v>4591965.6100000003</v>
      </c>
      <c r="AC75" s="35"/>
    </row>
    <row r="76" spans="1:29" s="1" customFormat="1" ht="14.1" customHeight="1">
      <c r="A76" s="31" t="s">
        <v>113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83</v>
      </c>
      <c r="M76" s="32"/>
      <c r="N76" s="32"/>
      <c r="O76" s="32" t="s">
        <v>145</v>
      </c>
      <c r="P76" s="32"/>
      <c r="Q76" s="32"/>
      <c r="R76" s="33" t="s">
        <v>115</v>
      </c>
      <c r="S76" s="33"/>
      <c r="T76" s="34">
        <f>50000</f>
        <v>50000</v>
      </c>
      <c r="U76" s="34"/>
      <c r="V76" s="34"/>
      <c r="W76" s="34">
        <f>15391.92</f>
        <v>15391.92</v>
      </c>
      <c r="X76" s="34"/>
      <c r="Y76" s="34"/>
      <c r="Z76" s="34"/>
      <c r="AA76" s="34"/>
      <c r="AB76" s="35">
        <f>34608.08</f>
        <v>34608.080000000002</v>
      </c>
      <c r="AC76" s="35"/>
    </row>
    <row r="77" spans="1:29" s="1" customFormat="1" ht="14.1" customHeight="1">
      <c r="A77" s="31" t="s">
        <v>98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83</v>
      </c>
      <c r="M77" s="32"/>
      <c r="N77" s="32"/>
      <c r="O77" s="32" t="s">
        <v>145</v>
      </c>
      <c r="P77" s="32"/>
      <c r="Q77" s="32"/>
      <c r="R77" s="33" t="s">
        <v>100</v>
      </c>
      <c r="S77" s="33"/>
      <c r="T77" s="34">
        <f>166000</f>
        <v>166000</v>
      </c>
      <c r="U77" s="34"/>
      <c r="V77" s="34"/>
      <c r="W77" s="34">
        <f>122066</f>
        <v>122066</v>
      </c>
      <c r="X77" s="34"/>
      <c r="Y77" s="34"/>
      <c r="Z77" s="34"/>
      <c r="AA77" s="34"/>
      <c r="AB77" s="35">
        <f>43934</f>
        <v>43934</v>
      </c>
      <c r="AC77" s="35"/>
    </row>
    <row r="78" spans="1:29" s="1" customFormat="1" ht="14.1" customHeight="1">
      <c r="A78" s="31" t="s">
        <v>118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83</v>
      </c>
      <c r="M78" s="32"/>
      <c r="N78" s="32"/>
      <c r="O78" s="32" t="s">
        <v>146</v>
      </c>
      <c r="P78" s="32"/>
      <c r="Q78" s="32"/>
      <c r="R78" s="33" t="s">
        <v>119</v>
      </c>
      <c r="S78" s="33"/>
      <c r="T78" s="34">
        <f>2153000</f>
        <v>2153000</v>
      </c>
      <c r="U78" s="34"/>
      <c r="V78" s="34"/>
      <c r="W78" s="36" t="s">
        <v>45</v>
      </c>
      <c r="X78" s="36"/>
      <c r="Y78" s="36"/>
      <c r="Z78" s="36"/>
      <c r="AA78" s="36"/>
      <c r="AB78" s="35">
        <f>2153000</f>
        <v>2153000</v>
      </c>
      <c r="AC78" s="35"/>
    </row>
    <row r="79" spans="1:29" s="1" customFormat="1" ht="14.1" customHeight="1">
      <c r="A79" s="31" t="s">
        <v>118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83</v>
      </c>
      <c r="M79" s="32"/>
      <c r="N79" s="32"/>
      <c r="O79" s="32" t="s">
        <v>147</v>
      </c>
      <c r="P79" s="32"/>
      <c r="Q79" s="32"/>
      <c r="R79" s="33" t="s">
        <v>119</v>
      </c>
      <c r="S79" s="33"/>
      <c r="T79" s="34">
        <f>540000</f>
        <v>540000</v>
      </c>
      <c r="U79" s="34"/>
      <c r="V79" s="34"/>
      <c r="W79" s="36" t="s">
        <v>45</v>
      </c>
      <c r="X79" s="36"/>
      <c r="Y79" s="36"/>
      <c r="Z79" s="36"/>
      <c r="AA79" s="36"/>
      <c r="AB79" s="35">
        <f>540000</f>
        <v>540000</v>
      </c>
      <c r="AC79" s="35"/>
    </row>
    <row r="80" spans="1:29" s="1" customFormat="1" ht="14.1" customHeight="1">
      <c r="A80" s="31" t="s">
        <v>118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83</v>
      </c>
      <c r="M80" s="32"/>
      <c r="N80" s="32"/>
      <c r="O80" s="32" t="s">
        <v>148</v>
      </c>
      <c r="P80" s="32"/>
      <c r="Q80" s="32"/>
      <c r="R80" s="33" t="s">
        <v>119</v>
      </c>
      <c r="S80" s="33"/>
      <c r="T80" s="34">
        <f>346300</f>
        <v>346300</v>
      </c>
      <c r="U80" s="34"/>
      <c r="V80" s="34"/>
      <c r="W80" s="36" t="s">
        <v>45</v>
      </c>
      <c r="X80" s="36"/>
      <c r="Y80" s="36"/>
      <c r="Z80" s="36"/>
      <c r="AA80" s="36"/>
      <c r="AB80" s="35">
        <f>346300</f>
        <v>346300</v>
      </c>
      <c r="AC80" s="35"/>
    </row>
    <row r="81" spans="1:29" s="1" customFormat="1" ht="14.1" customHeight="1">
      <c r="A81" s="31" t="s">
        <v>118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83</v>
      </c>
      <c r="M81" s="32"/>
      <c r="N81" s="32"/>
      <c r="O81" s="32" t="s">
        <v>149</v>
      </c>
      <c r="P81" s="32"/>
      <c r="Q81" s="32"/>
      <c r="R81" s="33" t="s">
        <v>119</v>
      </c>
      <c r="S81" s="33"/>
      <c r="T81" s="34">
        <f>900000</f>
        <v>900000</v>
      </c>
      <c r="U81" s="34"/>
      <c r="V81" s="34"/>
      <c r="W81" s="36" t="s">
        <v>45</v>
      </c>
      <c r="X81" s="36"/>
      <c r="Y81" s="36"/>
      <c r="Z81" s="36"/>
      <c r="AA81" s="36"/>
      <c r="AB81" s="35">
        <f>900000</f>
        <v>900000</v>
      </c>
      <c r="AC81" s="35"/>
    </row>
    <row r="82" spans="1:29" s="1" customFormat="1" ht="14.1" customHeight="1">
      <c r="A82" s="31" t="s">
        <v>116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83</v>
      </c>
      <c r="M82" s="32"/>
      <c r="N82" s="32"/>
      <c r="O82" s="32" t="s">
        <v>150</v>
      </c>
      <c r="P82" s="32"/>
      <c r="Q82" s="32"/>
      <c r="R82" s="33" t="s">
        <v>117</v>
      </c>
      <c r="S82" s="33"/>
      <c r="T82" s="34">
        <f>1200000</f>
        <v>1200000</v>
      </c>
      <c r="U82" s="34"/>
      <c r="V82" s="34"/>
      <c r="W82" s="34">
        <f>589340.46</f>
        <v>589340.46</v>
      </c>
      <c r="X82" s="34"/>
      <c r="Y82" s="34"/>
      <c r="Z82" s="34"/>
      <c r="AA82" s="34"/>
      <c r="AB82" s="35">
        <f>610659.54</f>
        <v>610659.54</v>
      </c>
      <c r="AC82" s="35"/>
    </row>
    <row r="83" spans="1:29" s="1" customFormat="1" ht="14.1" customHeight="1">
      <c r="A83" s="31" t="s">
        <v>118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83</v>
      </c>
      <c r="M83" s="32"/>
      <c r="N83" s="32"/>
      <c r="O83" s="32" t="s">
        <v>150</v>
      </c>
      <c r="P83" s="32"/>
      <c r="Q83" s="32"/>
      <c r="R83" s="33" t="s">
        <v>119</v>
      </c>
      <c r="S83" s="33"/>
      <c r="T83" s="34">
        <f>700000</f>
        <v>700000</v>
      </c>
      <c r="U83" s="34"/>
      <c r="V83" s="34"/>
      <c r="W83" s="34">
        <f>123217.1</f>
        <v>123217.1</v>
      </c>
      <c r="X83" s="34"/>
      <c r="Y83" s="34"/>
      <c r="Z83" s="34"/>
      <c r="AA83" s="34"/>
      <c r="AB83" s="35">
        <f>576782.9</f>
        <v>576782.9</v>
      </c>
      <c r="AC83" s="35"/>
    </row>
    <row r="84" spans="1:29" s="1" customFormat="1" ht="14.1" customHeight="1">
      <c r="A84" s="31" t="s">
        <v>98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83</v>
      </c>
      <c r="M84" s="32"/>
      <c r="N84" s="32"/>
      <c r="O84" s="32" t="s">
        <v>150</v>
      </c>
      <c r="P84" s="32"/>
      <c r="Q84" s="32"/>
      <c r="R84" s="33" t="s">
        <v>100</v>
      </c>
      <c r="S84" s="33"/>
      <c r="T84" s="34">
        <f>260000</f>
        <v>260000</v>
      </c>
      <c r="U84" s="34"/>
      <c r="V84" s="34"/>
      <c r="W84" s="36" t="s">
        <v>45</v>
      </c>
      <c r="X84" s="36"/>
      <c r="Y84" s="36"/>
      <c r="Z84" s="36"/>
      <c r="AA84" s="36"/>
      <c r="AB84" s="35">
        <f>260000</f>
        <v>260000</v>
      </c>
      <c r="AC84" s="35"/>
    </row>
    <row r="85" spans="1:29" s="1" customFormat="1" ht="14.1" customHeight="1">
      <c r="A85" s="31" t="s">
        <v>120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83</v>
      </c>
      <c r="M85" s="32"/>
      <c r="N85" s="32"/>
      <c r="O85" s="32" t="s">
        <v>150</v>
      </c>
      <c r="P85" s="32"/>
      <c r="Q85" s="32"/>
      <c r="R85" s="33" t="s">
        <v>121</v>
      </c>
      <c r="S85" s="33"/>
      <c r="T85" s="34">
        <f>2000000</f>
        <v>2000000</v>
      </c>
      <c r="U85" s="34"/>
      <c r="V85" s="34"/>
      <c r="W85" s="36" t="s">
        <v>45</v>
      </c>
      <c r="X85" s="36"/>
      <c r="Y85" s="36"/>
      <c r="Z85" s="36"/>
      <c r="AA85" s="36"/>
      <c r="AB85" s="35">
        <f>2000000</f>
        <v>2000000</v>
      </c>
      <c r="AC85" s="35"/>
    </row>
    <row r="86" spans="1:29" s="1" customFormat="1" ht="14.1" customHeight="1">
      <c r="A86" s="31" t="s">
        <v>122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83</v>
      </c>
      <c r="M86" s="32"/>
      <c r="N86" s="32"/>
      <c r="O86" s="32" t="s">
        <v>150</v>
      </c>
      <c r="P86" s="32"/>
      <c r="Q86" s="32"/>
      <c r="R86" s="33" t="s">
        <v>123</v>
      </c>
      <c r="S86" s="33"/>
      <c r="T86" s="34">
        <f>182446.89</f>
        <v>182446.89</v>
      </c>
      <c r="U86" s="34"/>
      <c r="V86" s="34"/>
      <c r="W86" s="34">
        <f>1962.34</f>
        <v>1962.34</v>
      </c>
      <c r="X86" s="34"/>
      <c r="Y86" s="34"/>
      <c r="Z86" s="34"/>
      <c r="AA86" s="34"/>
      <c r="AB86" s="35">
        <f>180484.55</f>
        <v>180484.55</v>
      </c>
      <c r="AC86" s="35"/>
    </row>
    <row r="87" spans="1:29" s="1" customFormat="1" ht="14.1" customHeight="1">
      <c r="A87" s="31" t="s">
        <v>113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83</v>
      </c>
      <c r="M87" s="32"/>
      <c r="N87" s="32"/>
      <c r="O87" s="32" t="s">
        <v>151</v>
      </c>
      <c r="P87" s="32"/>
      <c r="Q87" s="32"/>
      <c r="R87" s="33" t="s">
        <v>115</v>
      </c>
      <c r="S87" s="33"/>
      <c r="T87" s="34">
        <f>56000</f>
        <v>56000</v>
      </c>
      <c r="U87" s="34"/>
      <c r="V87" s="34"/>
      <c r="W87" s="36" t="s">
        <v>45</v>
      </c>
      <c r="X87" s="36"/>
      <c r="Y87" s="36"/>
      <c r="Z87" s="36"/>
      <c r="AA87" s="36"/>
      <c r="AB87" s="35">
        <f>56000</f>
        <v>56000</v>
      </c>
      <c r="AC87" s="35"/>
    </row>
    <row r="88" spans="1:29" s="1" customFormat="1" ht="14.1" customHeight="1">
      <c r="A88" s="31" t="s">
        <v>113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83</v>
      </c>
      <c r="M88" s="32"/>
      <c r="N88" s="32"/>
      <c r="O88" s="32" t="s">
        <v>152</v>
      </c>
      <c r="P88" s="32"/>
      <c r="Q88" s="32"/>
      <c r="R88" s="33" t="s">
        <v>115</v>
      </c>
      <c r="S88" s="33"/>
      <c r="T88" s="34">
        <f>9900</f>
        <v>9900</v>
      </c>
      <c r="U88" s="34"/>
      <c r="V88" s="34"/>
      <c r="W88" s="36" t="s">
        <v>45</v>
      </c>
      <c r="X88" s="36"/>
      <c r="Y88" s="36"/>
      <c r="Z88" s="36"/>
      <c r="AA88" s="36"/>
      <c r="AB88" s="35">
        <f>9900</f>
        <v>9900</v>
      </c>
      <c r="AC88" s="35"/>
    </row>
    <row r="89" spans="1:29" s="1" customFormat="1" ht="14.1" customHeight="1">
      <c r="A89" s="31" t="s">
        <v>84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83</v>
      </c>
      <c r="M89" s="32"/>
      <c r="N89" s="32"/>
      <c r="O89" s="32" t="s">
        <v>153</v>
      </c>
      <c r="P89" s="32"/>
      <c r="Q89" s="32"/>
      <c r="R89" s="33" t="s">
        <v>86</v>
      </c>
      <c r="S89" s="33"/>
      <c r="T89" s="34">
        <f>8662000</f>
        <v>8662000</v>
      </c>
      <c r="U89" s="34"/>
      <c r="V89" s="34"/>
      <c r="W89" s="34">
        <f>1608096.01</f>
        <v>1608096.01</v>
      </c>
      <c r="X89" s="34"/>
      <c r="Y89" s="34"/>
      <c r="Z89" s="34"/>
      <c r="AA89" s="34"/>
      <c r="AB89" s="35">
        <f>7053903.99</f>
        <v>7053903.9900000002</v>
      </c>
      <c r="AC89" s="35"/>
    </row>
    <row r="90" spans="1:29" s="1" customFormat="1" ht="14.1" customHeight="1">
      <c r="A90" s="31" t="s">
        <v>108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83</v>
      </c>
      <c r="M90" s="32"/>
      <c r="N90" s="32"/>
      <c r="O90" s="32" t="s">
        <v>154</v>
      </c>
      <c r="P90" s="32"/>
      <c r="Q90" s="32"/>
      <c r="R90" s="33" t="s">
        <v>110</v>
      </c>
      <c r="S90" s="33"/>
      <c r="T90" s="34">
        <f>140000</f>
        <v>140000</v>
      </c>
      <c r="U90" s="34"/>
      <c r="V90" s="34"/>
      <c r="W90" s="36" t="s">
        <v>45</v>
      </c>
      <c r="X90" s="36"/>
      <c r="Y90" s="36"/>
      <c r="Z90" s="36"/>
      <c r="AA90" s="36"/>
      <c r="AB90" s="35">
        <f>140000</f>
        <v>140000</v>
      </c>
      <c r="AC90" s="35"/>
    </row>
    <row r="91" spans="1:29" s="1" customFormat="1" ht="14.1" customHeight="1">
      <c r="A91" s="31" t="s">
        <v>111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83</v>
      </c>
      <c r="M91" s="32"/>
      <c r="N91" s="32"/>
      <c r="O91" s="32" t="s">
        <v>154</v>
      </c>
      <c r="P91" s="32"/>
      <c r="Q91" s="32"/>
      <c r="R91" s="33" t="s">
        <v>112</v>
      </c>
      <c r="S91" s="33"/>
      <c r="T91" s="34">
        <f>10000</f>
        <v>10000</v>
      </c>
      <c r="U91" s="34"/>
      <c r="V91" s="34"/>
      <c r="W91" s="36" t="s">
        <v>45</v>
      </c>
      <c r="X91" s="36"/>
      <c r="Y91" s="36"/>
      <c r="Z91" s="36"/>
      <c r="AA91" s="36"/>
      <c r="AB91" s="35">
        <f>10000</f>
        <v>10000</v>
      </c>
      <c r="AC91" s="35"/>
    </row>
    <row r="92" spans="1:29" s="1" customFormat="1" ht="14.1" customHeight="1">
      <c r="A92" s="31" t="s">
        <v>87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83</v>
      </c>
      <c r="M92" s="32"/>
      <c r="N92" s="32"/>
      <c r="O92" s="32" t="s">
        <v>155</v>
      </c>
      <c r="P92" s="32"/>
      <c r="Q92" s="32"/>
      <c r="R92" s="33" t="s">
        <v>89</v>
      </c>
      <c r="S92" s="33"/>
      <c r="T92" s="34">
        <f>2620000</f>
        <v>2620000</v>
      </c>
      <c r="U92" s="34"/>
      <c r="V92" s="34"/>
      <c r="W92" s="34">
        <f>521097.3</f>
        <v>521097.3</v>
      </c>
      <c r="X92" s="34"/>
      <c r="Y92" s="34"/>
      <c r="Z92" s="34"/>
      <c r="AA92" s="34"/>
      <c r="AB92" s="35">
        <f>2098902.7</f>
        <v>2098902.7000000002</v>
      </c>
      <c r="AC92" s="35"/>
    </row>
    <row r="93" spans="1:29" s="1" customFormat="1" ht="14.1" customHeight="1">
      <c r="A93" s="31" t="s">
        <v>113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83</v>
      </c>
      <c r="M93" s="32"/>
      <c r="N93" s="32"/>
      <c r="O93" s="32" t="s">
        <v>156</v>
      </c>
      <c r="P93" s="32"/>
      <c r="Q93" s="32"/>
      <c r="R93" s="33" t="s">
        <v>115</v>
      </c>
      <c r="S93" s="33"/>
      <c r="T93" s="34">
        <f>205000</f>
        <v>205000</v>
      </c>
      <c r="U93" s="34"/>
      <c r="V93" s="34"/>
      <c r="W93" s="34">
        <f>62610.13</f>
        <v>62610.13</v>
      </c>
      <c r="X93" s="34"/>
      <c r="Y93" s="34"/>
      <c r="Z93" s="34"/>
      <c r="AA93" s="34"/>
      <c r="AB93" s="35">
        <f>142389.87</f>
        <v>142389.87</v>
      </c>
      <c r="AC93" s="35"/>
    </row>
    <row r="94" spans="1:29" s="1" customFormat="1" ht="14.1" customHeight="1">
      <c r="A94" s="31" t="s">
        <v>116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83</v>
      </c>
      <c r="M94" s="32"/>
      <c r="N94" s="32"/>
      <c r="O94" s="32" t="s">
        <v>156</v>
      </c>
      <c r="P94" s="32"/>
      <c r="Q94" s="32"/>
      <c r="R94" s="33" t="s">
        <v>117</v>
      </c>
      <c r="S94" s="33"/>
      <c r="T94" s="34">
        <f>4235000</f>
        <v>4235000</v>
      </c>
      <c r="U94" s="34"/>
      <c r="V94" s="34"/>
      <c r="W94" s="34">
        <f>1240679.25</f>
        <v>1240679.25</v>
      </c>
      <c r="X94" s="34"/>
      <c r="Y94" s="34"/>
      <c r="Z94" s="34"/>
      <c r="AA94" s="34"/>
      <c r="AB94" s="35">
        <f>2994320.75</f>
        <v>2994320.75</v>
      </c>
      <c r="AC94" s="35"/>
    </row>
    <row r="95" spans="1:29" s="1" customFormat="1" ht="14.1" customHeight="1">
      <c r="A95" s="31" t="s">
        <v>118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83</v>
      </c>
      <c r="M95" s="32"/>
      <c r="N95" s="32"/>
      <c r="O95" s="32" t="s">
        <v>156</v>
      </c>
      <c r="P95" s="32"/>
      <c r="Q95" s="32"/>
      <c r="R95" s="33" t="s">
        <v>119</v>
      </c>
      <c r="S95" s="33"/>
      <c r="T95" s="34">
        <f>320000</f>
        <v>320000</v>
      </c>
      <c r="U95" s="34"/>
      <c r="V95" s="34"/>
      <c r="W95" s="34">
        <f>67719</f>
        <v>67719</v>
      </c>
      <c r="X95" s="34"/>
      <c r="Y95" s="34"/>
      <c r="Z95" s="34"/>
      <c r="AA95" s="34"/>
      <c r="AB95" s="35">
        <f>252281</f>
        <v>252281</v>
      </c>
      <c r="AC95" s="35"/>
    </row>
    <row r="96" spans="1:29" s="1" customFormat="1" ht="14.1" customHeight="1">
      <c r="A96" s="31" t="s">
        <v>98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83</v>
      </c>
      <c r="M96" s="32"/>
      <c r="N96" s="32"/>
      <c r="O96" s="32" t="s">
        <v>156</v>
      </c>
      <c r="P96" s="32"/>
      <c r="Q96" s="32"/>
      <c r="R96" s="33" t="s">
        <v>100</v>
      </c>
      <c r="S96" s="33"/>
      <c r="T96" s="34">
        <f>255100</f>
        <v>255100</v>
      </c>
      <c r="U96" s="34"/>
      <c r="V96" s="34"/>
      <c r="W96" s="34">
        <f>97243</f>
        <v>97243</v>
      </c>
      <c r="X96" s="34"/>
      <c r="Y96" s="34"/>
      <c r="Z96" s="34"/>
      <c r="AA96" s="34"/>
      <c r="AB96" s="35">
        <f>157857</f>
        <v>157857</v>
      </c>
      <c r="AC96" s="35"/>
    </row>
    <row r="97" spans="1:29" s="1" customFormat="1" ht="14.1" customHeight="1">
      <c r="A97" s="31" t="s">
        <v>94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83</v>
      </c>
      <c r="M97" s="32"/>
      <c r="N97" s="32"/>
      <c r="O97" s="32" t="s">
        <v>156</v>
      </c>
      <c r="P97" s="32"/>
      <c r="Q97" s="32"/>
      <c r="R97" s="33" t="s">
        <v>96</v>
      </c>
      <c r="S97" s="33"/>
      <c r="T97" s="34">
        <f>89000</f>
        <v>89000</v>
      </c>
      <c r="U97" s="34"/>
      <c r="V97" s="34"/>
      <c r="W97" s="36" t="s">
        <v>45</v>
      </c>
      <c r="X97" s="36"/>
      <c r="Y97" s="36"/>
      <c r="Z97" s="36"/>
      <c r="AA97" s="36"/>
      <c r="AB97" s="35">
        <f>89000</f>
        <v>89000</v>
      </c>
      <c r="AC97" s="35"/>
    </row>
    <row r="98" spans="1:29" s="1" customFormat="1" ht="14.1" customHeight="1">
      <c r="A98" s="31" t="s">
        <v>122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83</v>
      </c>
      <c r="M98" s="32"/>
      <c r="N98" s="32"/>
      <c r="O98" s="32" t="s">
        <v>156</v>
      </c>
      <c r="P98" s="32"/>
      <c r="Q98" s="32"/>
      <c r="R98" s="33" t="s">
        <v>123</v>
      </c>
      <c r="S98" s="33"/>
      <c r="T98" s="34">
        <f>215000</f>
        <v>215000</v>
      </c>
      <c r="U98" s="34"/>
      <c r="V98" s="34"/>
      <c r="W98" s="34">
        <f>3330</f>
        <v>3330</v>
      </c>
      <c r="X98" s="34"/>
      <c r="Y98" s="34"/>
      <c r="Z98" s="34"/>
      <c r="AA98" s="34"/>
      <c r="AB98" s="35">
        <f>211670</f>
        <v>211670</v>
      </c>
      <c r="AC98" s="35"/>
    </row>
    <row r="99" spans="1:29" s="1" customFormat="1" ht="14.1" customHeight="1">
      <c r="A99" s="31" t="s">
        <v>101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83</v>
      </c>
      <c r="M99" s="32"/>
      <c r="N99" s="32"/>
      <c r="O99" s="32" t="s">
        <v>157</v>
      </c>
      <c r="P99" s="32"/>
      <c r="Q99" s="32"/>
      <c r="R99" s="33" t="s">
        <v>103</v>
      </c>
      <c r="S99" s="33"/>
      <c r="T99" s="34">
        <f>26000</f>
        <v>26000</v>
      </c>
      <c r="U99" s="34"/>
      <c r="V99" s="34"/>
      <c r="W99" s="36" t="s">
        <v>45</v>
      </c>
      <c r="X99" s="36"/>
      <c r="Y99" s="36"/>
      <c r="Z99" s="36"/>
      <c r="AA99" s="36"/>
      <c r="AB99" s="35">
        <f>26000</f>
        <v>26000</v>
      </c>
      <c r="AC99" s="35"/>
    </row>
    <row r="100" spans="1:29" s="1" customFormat="1" ht="14.1" customHeight="1">
      <c r="A100" s="31" t="s">
        <v>101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83</v>
      </c>
      <c r="M100" s="32"/>
      <c r="N100" s="32"/>
      <c r="O100" s="32" t="s">
        <v>158</v>
      </c>
      <c r="P100" s="32"/>
      <c r="Q100" s="32"/>
      <c r="R100" s="33" t="s">
        <v>103</v>
      </c>
      <c r="S100" s="33"/>
      <c r="T100" s="34">
        <f>3000</f>
        <v>3000</v>
      </c>
      <c r="U100" s="34"/>
      <c r="V100" s="34"/>
      <c r="W100" s="36" t="s">
        <v>45</v>
      </c>
      <c r="X100" s="36"/>
      <c r="Y100" s="36"/>
      <c r="Z100" s="36"/>
      <c r="AA100" s="36"/>
      <c r="AB100" s="35">
        <f>3000</f>
        <v>3000</v>
      </c>
      <c r="AC100" s="35"/>
    </row>
    <row r="101" spans="1:29" s="1" customFormat="1" ht="24" customHeight="1">
      <c r="A101" s="31" t="s">
        <v>106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83</v>
      </c>
      <c r="M101" s="32"/>
      <c r="N101" s="32"/>
      <c r="O101" s="32" t="s">
        <v>159</v>
      </c>
      <c r="P101" s="32"/>
      <c r="Q101" s="32"/>
      <c r="R101" s="33" t="s">
        <v>107</v>
      </c>
      <c r="S101" s="33"/>
      <c r="T101" s="34">
        <f>5000</f>
        <v>5000</v>
      </c>
      <c r="U101" s="34"/>
      <c r="V101" s="34"/>
      <c r="W101" s="34">
        <f>27.69</f>
        <v>27.69</v>
      </c>
      <c r="X101" s="34"/>
      <c r="Y101" s="34"/>
      <c r="Z101" s="34"/>
      <c r="AA101" s="34"/>
      <c r="AB101" s="35">
        <f>4972.31</f>
        <v>4972.3100000000004</v>
      </c>
      <c r="AC101" s="35"/>
    </row>
    <row r="102" spans="1:29" s="1" customFormat="1" ht="14.1" customHeight="1">
      <c r="A102" s="31" t="s">
        <v>94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83</v>
      </c>
      <c r="M102" s="32"/>
      <c r="N102" s="32"/>
      <c r="O102" s="32" t="s">
        <v>160</v>
      </c>
      <c r="P102" s="32"/>
      <c r="Q102" s="32"/>
      <c r="R102" s="33" t="s">
        <v>96</v>
      </c>
      <c r="S102" s="33"/>
      <c r="T102" s="34">
        <f>164400</f>
        <v>164400</v>
      </c>
      <c r="U102" s="34"/>
      <c r="V102" s="34"/>
      <c r="W102" s="34">
        <f>15700</f>
        <v>15700</v>
      </c>
      <c r="X102" s="34"/>
      <c r="Y102" s="34"/>
      <c r="Z102" s="34"/>
      <c r="AA102" s="34"/>
      <c r="AB102" s="35">
        <f>148700</f>
        <v>148700</v>
      </c>
      <c r="AC102" s="35"/>
    </row>
    <row r="103" spans="1:29" s="1" customFormat="1" ht="14.1" customHeight="1">
      <c r="A103" s="31" t="s">
        <v>94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83</v>
      </c>
      <c r="M103" s="32"/>
      <c r="N103" s="32"/>
      <c r="O103" s="32" t="s">
        <v>161</v>
      </c>
      <c r="P103" s="32"/>
      <c r="Q103" s="32"/>
      <c r="R103" s="33" t="s">
        <v>96</v>
      </c>
      <c r="S103" s="33"/>
      <c r="T103" s="34">
        <f>25000</f>
        <v>25000</v>
      </c>
      <c r="U103" s="34"/>
      <c r="V103" s="34"/>
      <c r="W103" s="34">
        <f>9700</f>
        <v>9700</v>
      </c>
      <c r="X103" s="34"/>
      <c r="Y103" s="34"/>
      <c r="Z103" s="34"/>
      <c r="AA103" s="34"/>
      <c r="AB103" s="35">
        <f>15300</f>
        <v>15300</v>
      </c>
      <c r="AC103" s="35"/>
    </row>
    <row r="104" spans="1:29" s="1" customFormat="1" ht="24" customHeight="1">
      <c r="A104" s="31" t="s">
        <v>162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83</v>
      </c>
      <c r="M104" s="32"/>
      <c r="N104" s="32"/>
      <c r="O104" s="32" t="s">
        <v>163</v>
      </c>
      <c r="P104" s="32"/>
      <c r="Q104" s="32"/>
      <c r="R104" s="33" t="s">
        <v>164</v>
      </c>
      <c r="S104" s="33"/>
      <c r="T104" s="34">
        <f>60000</f>
        <v>60000</v>
      </c>
      <c r="U104" s="34"/>
      <c r="V104" s="34"/>
      <c r="W104" s="34">
        <f>10000</f>
        <v>10000</v>
      </c>
      <c r="X104" s="34"/>
      <c r="Y104" s="34"/>
      <c r="Z104" s="34"/>
      <c r="AA104" s="34"/>
      <c r="AB104" s="35">
        <f>50000</f>
        <v>50000</v>
      </c>
      <c r="AC104" s="35"/>
    </row>
    <row r="105" spans="1:29" s="1" customFormat="1" ht="14.1" customHeight="1">
      <c r="A105" s="31" t="s">
        <v>120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83</v>
      </c>
      <c r="M105" s="32"/>
      <c r="N105" s="32"/>
      <c r="O105" s="32" t="s">
        <v>165</v>
      </c>
      <c r="P105" s="32"/>
      <c r="Q105" s="32"/>
      <c r="R105" s="33" t="s">
        <v>121</v>
      </c>
      <c r="S105" s="33"/>
      <c r="T105" s="34">
        <f>30000</f>
        <v>30000</v>
      </c>
      <c r="U105" s="34"/>
      <c r="V105" s="34"/>
      <c r="W105" s="36" t="s">
        <v>45</v>
      </c>
      <c r="X105" s="36"/>
      <c r="Y105" s="36"/>
      <c r="Z105" s="36"/>
      <c r="AA105" s="36"/>
      <c r="AB105" s="35">
        <f>30000</f>
        <v>30000</v>
      </c>
      <c r="AC105" s="35"/>
    </row>
    <row r="106" spans="1:29" s="1" customFormat="1" ht="14.1" customHeight="1">
      <c r="A106" s="31" t="s">
        <v>84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83</v>
      </c>
      <c r="M106" s="32"/>
      <c r="N106" s="32"/>
      <c r="O106" s="32" t="s">
        <v>166</v>
      </c>
      <c r="P106" s="32"/>
      <c r="Q106" s="32"/>
      <c r="R106" s="33" t="s">
        <v>86</v>
      </c>
      <c r="S106" s="33"/>
      <c r="T106" s="34">
        <f>915000</f>
        <v>915000</v>
      </c>
      <c r="U106" s="34"/>
      <c r="V106" s="34"/>
      <c r="W106" s="34">
        <f>352920.77</f>
        <v>352920.77</v>
      </c>
      <c r="X106" s="34"/>
      <c r="Y106" s="34"/>
      <c r="Z106" s="34"/>
      <c r="AA106" s="34"/>
      <c r="AB106" s="35">
        <f>562079.23</f>
        <v>562079.23</v>
      </c>
      <c r="AC106" s="35"/>
    </row>
    <row r="107" spans="1:29" s="1" customFormat="1" ht="14.1" customHeight="1">
      <c r="A107" s="31" t="s">
        <v>87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83</v>
      </c>
      <c r="M107" s="32"/>
      <c r="N107" s="32"/>
      <c r="O107" s="32" t="s">
        <v>167</v>
      </c>
      <c r="P107" s="32"/>
      <c r="Q107" s="32"/>
      <c r="R107" s="33" t="s">
        <v>89</v>
      </c>
      <c r="S107" s="33"/>
      <c r="T107" s="34">
        <f>300000</f>
        <v>300000</v>
      </c>
      <c r="U107" s="34"/>
      <c r="V107" s="34"/>
      <c r="W107" s="34">
        <f>93101.36</f>
        <v>93101.36</v>
      </c>
      <c r="X107" s="34"/>
      <c r="Y107" s="34"/>
      <c r="Z107" s="34"/>
      <c r="AA107" s="34"/>
      <c r="AB107" s="35">
        <f>206898.64</f>
        <v>206898.64</v>
      </c>
      <c r="AC107" s="35"/>
    </row>
    <row r="108" spans="1:29" s="1" customFormat="1" ht="14.1" customHeight="1">
      <c r="A108" s="31" t="s">
        <v>94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83</v>
      </c>
      <c r="M108" s="32"/>
      <c r="N108" s="32"/>
      <c r="O108" s="32" t="s">
        <v>168</v>
      </c>
      <c r="P108" s="32"/>
      <c r="Q108" s="32"/>
      <c r="R108" s="33" t="s">
        <v>96</v>
      </c>
      <c r="S108" s="33"/>
      <c r="T108" s="34">
        <f>31000</f>
        <v>31000</v>
      </c>
      <c r="U108" s="34"/>
      <c r="V108" s="34"/>
      <c r="W108" s="36" t="s">
        <v>45</v>
      </c>
      <c r="X108" s="36"/>
      <c r="Y108" s="36"/>
      <c r="Z108" s="36"/>
      <c r="AA108" s="36"/>
      <c r="AB108" s="35">
        <f>31000</f>
        <v>31000</v>
      </c>
      <c r="AC108" s="35"/>
    </row>
    <row r="109" spans="1:29" s="1" customFormat="1" ht="15" customHeight="1">
      <c r="A109" s="37" t="s">
        <v>169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8" t="s">
        <v>170</v>
      </c>
      <c r="M109" s="38"/>
      <c r="N109" s="38"/>
      <c r="O109" s="38" t="s">
        <v>36</v>
      </c>
      <c r="P109" s="38"/>
      <c r="Q109" s="38"/>
      <c r="R109" s="39" t="s">
        <v>36</v>
      </c>
      <c r="S109" s="39"/>
      <c r="T109" s="40">
        <f>-561382.89</f>
        <v>-561382.89</v>
      </c>
      <c r="U109" s="40"/>
      <c r="V109" s="40"/>
      <c r="W109" s="40">
        <f>1040319.11</f>
        <v>1040319.11</v>
      </c>
      <c r="X109" s="40"/>
      <c r="Y109" s="40"/>
      <c r="Z109" s="40"/>
      <c r="AA109" s="40"/>
      <c r="AB109" s="41" t="s">
        <v>36</v>
      </c>
      <c r="AC109" s="41"/>
    </row>
    <row r="110" spans="1:29" s="1" customFormat="1" ht="14.1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s="1" customFormat="1" ht="14.1" customHeight="1">
      <c r="A111" s="12" t="s">
        <v>171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s="1" customFormat="1" ht="45.95" customHeight="1">
      <c r="A112" s="13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 t="s">
        <v>23</v>
      </c>
      <c r="N112" s="13"/>
      <c r="O112" s="13"/>
      <c r="P112" s="13" t="s">
        <v>172</v>
      </c>
      <c r="Q112" s="13"/>
      <c r="R112" s="13"/>
      <c r="S112" s="14" t="s">
        <v>25</v>
      </c>
      <c r="T112" s="14"/>
      <c r="U112" s="14"/>
      <c r="V112" s="14" t="s">
        <v>26</v>
      </c>
      <c r="W112" s="14"/>
      <c r="X112" s="14"/>
      <c r="Y112" s="14"/>
      <c r="Z112" s="14"/>
      <c r="AA112" s="15" t="s">
        <v>27</v>
      </c>
      <c r="AB112" s="15"/>
      <c r="AC112" s="15"/>
    </row>
    <row r="113" spans="1:29" s="1" customFormat="1" ht="12.95" customHeight="1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 t="s">
        <v>29</v>
      </c>
      <c r="N113" s="16"/>
      <c r="O113" s="16"/>
      <c r="P113" s="16" t="s">
        <v>30</v>
      </c>
      <c r="Q113" s="16"/>
      <c r="R113" s="16"/>
      <c r="S113" s="17" t="s">
        <v>31</v>
      </c>
      <c r="T113" s="17"/>
      <c r="U113" s="17"/>
      <c r="V113" s="17" t="s">
        <v>32</v>
      </c>
      <c r="W113" s="17"/>
      <c r="X113" s="17"/>
      <c r="Y113" s="17"/>
      <c r="Z113" s="17"/>
      <c r="AA113" s="18" t="s">
        <v>33</v>
      </c>
      <c r="AB113" s="18"/>
      <c r="AC113" s="18"/>
    </row>
    <row r="114" spans="1:29" s="1" customFormat="1" ht="14.1" customHeight="1">
      <c r="A114" s="19" t="s">
        <v>173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 t="s">
        <v>174</v>
      </c>
      <c r="N114" s="20"/>
      <c r="O114" s="20"/>
      <c r="P114" s="20" t="s">
        <v>36</v>
      </c>
      <c r="Q114" s="20"/>
      <c r="R114" s="20"/>
      <c r="S114" s="42">
        <f>561382.89</f>
        <v>561382.89</v>
      </c>
      <c r="T114" s="42"/>
      <c r="U114" s="42"/>
      <c r="V114" s="21">
        <f>-1040319.11</f>
        <v>-1040319.11</v>
      </c>
      <c r="W114" s="21"/>
      <c r="X114" s="21"/>
      <c r="Y114" s="21"/>
      <c r="Z114" s="21"/>
      <c r="AA114" s="43" t="s">
        <v>36</v>
      </c>
      <c r="AB114" s="43"/>
      <c r="AC114" s="43"/>
    </row>
    <row r="115" spans="1:29" s="1" customFormat="1" ht="14.1" customHeight="1">
      <c r="A115" s="44" t="s">
        <v>175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5" t="s">
        <v>10</v>
      </c>
      <c r="N115" s="45"/>
      <c r="O115" s="45"/>
      <c r="P115" s="45" t="s">
        <v>10</v>
      </c>
      <c r="Q115" s="45"/>
      <c r="R115" s="45"/>
      <c r="S115" s="46" t="s">
        <v>10</v>
      </c>
      <c r="T115" s="46"/>
      <c r="U115" s="46"/>
      <c r="V115" s="47" t="s">
        <v>10</v>
      </c>
      <c r="W115" s="47"/>
      <c r="X115" s="47"/>
      <c r="Y115" s="47"/>
      <c r="Z115" s="47"/>
      <c r="AA115" s="48" t="s">
        <v>10</v>
      </c>
      <c r="AB115" s="48"/>
      <c r="AC115" s="48"/>
    </row>
    <row r="116" spans="1:29" s="1" customFormat="1" ht="14.1" customHeight="1">
      <c r="A116" s="23" t="s">
        <v>176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49" t="s">
        <v>177</v>
      </c>
      <c r="N116" s="49"/>
      <c r="O116" s="49"/>
      <c r="P116" s="24" t="s">
        <v>36</v>
      </c>
      <c r="Q116" s="24"/>
      <c r="R116" s="24"/>
      <c r="S116" s="50" t="s">
        <v>45</v>
      </c>
      <c r="T116" s="50"/>
      <c r="U116" s="50"/>
      <c r="V116" s="27" t="s">
        <v>45</v>
      </c>
      <c r="W116" s="27"/>
      <c r="X116" s="27"/>
      <c r="Y116" s="27"/>
      <c r="Z116" s="27"/>
      <c r="AA116" s="51" t="s">
        <v>45</v>
      </c>
      <c r="AB116" s="51"/>
      <c r="AC116" s="51"/>
    </row>
    <row r="117" spans="1:29" s="1" customFormat="1" ht="14.1" customHeight="1">
      <c r="A117" s="33" t="s">
        <v>10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1" customFormat="1" ht="14.1" customHeight="1">
      <c r="A118" s="31" t="s">
        <v>178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45" t="s">
        <v>179</v>
      </c>
      <c r="N118" s="45"/>
      <c r="O118" s="45"/>
      <c r="P118" s="45" t="s">
        <v>36</v>
      </c>
      <c r="Q118" s="45"/>
      <c r="R118" s="45"/>
      <c r="S118" s="46" t="s">
        <v>45</v>
      </c>
      <c r="T118" s="46"/>
      <c r="U118" s="46"/>
      <c r="V118" s="36" t="s">
        <v>45</v>
      </c>
      <c r="W118" s="36"/>
      <c r="X118" s="36"/>
      <c r="Y118" s="36"/>
      <c r="Z118" s="36"/>
      <c r="AA118" s="48" t="s">
        <v>45</v>
      </c>
      <c r="AB118" s="48"/>
      <c r="AC118" s="48"/>
    </row>
    <row r="119" spans="1:29" s="1" customFormat="1" ht="14.1" customHeight="1">
      <c r="A119" s="31" t="s">
        <v>10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2" t="s">
        <v>179</v>
      </c>
      <c r="N119" s="32"/>
      <c r="O119" s="32"/>
      <c r="P119" s="32" t="s">
        <v>10</v>
      </c>
      <c r="Q119" s="32"/>
      <c r="R119" s="32"/>
      <c r="S119" s="52" t="s">
        <v>45</v>
      </c>
      <c r="T119" s="52"/>
      <c r="U119" s="52"/>
      <c r="V119" s="36" t="s">
        <v>45</v>
      </c>
      <c r="W119" s="36"/>
      <c r="X119" s="36"/>
      <c r="Y119" s="36"/>
      <c r="Z119" s="36"/>
      <c r="AA119" s="53" t="s">
        <v>45</v>
      </c>
      <c r="AB119" s="53"/>
      <c r="AC119" s="53"/>
    </row>
    <row r="120" spans="1:29" s="1" customFormat="1" ht="14.1" customHeight="1">
      <c r="A120" s="31" t="s">
        <v>180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2" t="s">
        <v>181</v>
      </c>
      <c r="N120" s="32"/>
      <c r="O120" s="32"/>
      <c r="P120" s="32" t="s">
        <v>182</v>
      </c>
      <c r="Q120" s="32"/>
      <c r="R120" s="32"/>
      <c r="S120" s="54">
        <f>561382.89</f>
        <v>561382.89</v>
      </c>
      <c r="T120" s="54"/>
      <c r="U120" s="54"/>
      <c r="V120" s="34">
        <f>-1040319.11</f>
        <v>-1040319.11</v>
      </c>
      <c r="W120" s="34"/>
      <c r="X120" s="34"/>
      <c r="Y120" s="34"/>
      <c r="Z120" s="34"/>
      <c r="AA120" s="55">
        <f>1601702</f>
        <v>1601702</v>
      </c>
      <c r="AB120" s="55"/>
      <c r="AC120" s="55"/>
    </row>
    <row r="121" spans="1:29" s="1" customFormat="1" ht="14.1" customHeight="1">
      <c r="A121" s="31" t="s">
        <v>183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2" t="s">
        <v>184</v>
      </c>
      <c r="N121" s="32"/>
      <c r="O121" s="32"/>
      <c r="P121" s="32" t="s">
        <v>185</v>
      </c>
      <c r="Q121" s="32"/>
      <c r="R121" s="32"/>
      <c r="S121" s="54">
        <f>-53927665.49</f>
        <v>-53927665.490000002</v>
      </c>
      <c r="T121" s="54"/>
      <c r="U121" s="54"/>
      <c r="V121" s="34">
        <f>-13088325.03</f>
        <v>-13088325.029999999</v>
      </c>
      <c r="W121" s="34"/>
      <c r="X121" s="34"/>
      <c r="Y121" s="34"/>
      <c r="Z121" s="34"/>
      <c r="AA121" s="56" t="s">
        <v>36</v>
      </c>
      <c r="AB121" s="56"/>
      <c r="AC121" s="56"/>
    </row>
    <row r="122" spans="1:29" s="1" customFormat="1" ht="14.1" customHeight="1">
      <c r="A122" s="31" t="s">
        <v>186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2" t="s">
        <v>187</v>
      </c>
      <c r="N122" s="32"/>
      <c r="O122" s="32"/>
      <c r="P122" s="32" t="s">
        <v>188</v>
      </c>
      <c r="Q122" s="32"/>
      <c r="R122" s="32"/>
      <c r="S122" s="54">
        <f>54489048.38</f>
        <v>54489048.380000003</v>
      </c>
      <c r="T122" s="54"/>
      <c r="U122" s="54"/>
      <c r="V122" s="34">
        <f>12048005.92</f>
        <v>12048005.92</v>
      </c>
      <c r="W122" s="34"/>
      <c r="X122" s="34"/>
      <c r="Y122" s="34"/>
      <c r="Z122" s="34"/>
      <c r="AA122" s="56" t="s">
        <v>36</v>
      </c>
      <c r="AB122" s="56"/>
      <c r="AC122" s="56"/>
    </row>
    <row r="123" spans="1:29" s="1" customFormat="1" ht="14.1" customHeight="1">
      <c r="A123" s="58" t="s">
        <v>10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:29" s="1" customFormat="1" ht="14.1" customHeight="1">
      <c r="A124" s="7" t="s">
        <v>189</v>
      </c>
      <c r="B124" s="7"/>
      <c r="C124" s="7"/>
      <c r="D124" s="7"/>
      <c r="E124" s="7"/>
      <c r="F124" s="7"/>
      <c r="G124" s="7"/>
      <c r="H124" s="7"/>
      <c r="I124" s="57" t="s">
        <v>10</v>
      </c>
      <c r="J124" s="57"/>
      <c r="K124" s="57"/>
      <c r="L124" s="57"/>
      <c r="M124" s="57"/>
      <c r="N124" s="57"/>
      <c r="O124" s="57"/>
      <c r="P124" s="57" t="s">
        <v>190</v>
      </c>
      <c r="Q124" s="57"/>
      <c r="R124" s="57"/>
      <c r="S124" s="57"/>
      <c r="T124" s="57"/>
      <c r="U124" s="7" t="s">
        <v>10</v>
      </c>
      <c r="V124" s="7"/>
      <c r="W124" s="7"/>
      <c r="X124" s="7"/>
      <c r="Y124" s="7"/>
      <c r="Z124" s="7"/>
      <c r="AA124" s="7"/>
      <c r="AB124" s="7"/>
      <c r="AC124" s="7"/>
    </row>
    <row r="125" spans="1:29" s="1" customFormat="1" ht="14.1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10" t="s">
        <v>10</v>
      </c>
      <c r="J125" s="59" t="s">
        <v>191</v>
      </c>
      <c r="K125" s="59"/>
      <c r="L125" s="59"/>
      <c r="M125" s="59"/>
      <c r="N125" s="7" t="s">
        <v>10</v>
      </c>
      <c r="O125" s="7"/>
      <c r="P125" s="10" t="s">
        <v>10</v>
      </c>
      <c r="Q125" s="59" t="s">
        <v>192</v>
      </c>
      <c r="R125" s="59"/>
      <c r="S125" s="59"/>
      <c r="T125" s="7" t="s">
        <v>10</v>
      </c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s="1" customFormat="1" ht="8.1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s="1" customFormat="1" ht="14.1" customHeight="1">
      <c r="A127" s="7" t="s">
        <v>10</v>
      </c>
      <c r="B127" s="7"/>
      <c r="C127" s="7"/>
      <c r="D127" s="7"/>
      <c r="E127" s="7"/>
      <c r="F127" s="7"/>
      <c r="G127" s="7"/>
      <c r="H127" s="7"/>
      <c r="I127" s="57" t="s">
        <v>10</v>
      </c>
      <c r="J127" s="57"/>
      <c r="K127" s="57"/>
      <c r="L127" s="57"/>
      <c r="M127" s="57"/>
      <c r="N127" s="57"/>
      <c r="O127" s="57"/>
      <c r="P127" s="57" t="s">
        <v>193</v>
      </c>
      <c r="Q127" s="57"/>
      <c r="R127" s="57"/>
      <c r="S127" s="57"/>
      <c r="T127" s="57"/>
      <c r="U127" s="7" t="s">
        <v>10</v>
      </c>
      <c r="V127" s="7"/>
      <c r="W127" s="7"/>
      <c r="X127" s="7"/>
      <c r="Y127" s="7"/>
      <c r="Z127" s="7"/>
      <c r="AA127" s="7"/>
      <c r="AB127" s="7"/>
      <c r="AC127" s="7"/>
    </row>
    <row r="128" spans="1:29" s="1" customFormat="1" ht="14.1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10" t="s">
        <v>10</v>
      </c>
      <c r="J128" s="59" t="s">
        <v>191</v>
      </c>
      <c r="K128" s="59"/>
      <c r="L128" s="59"/>
      <c r="M128" s="59"/>
      <c r="N128" s="7" t="s">
        <v>10</v>
      </c>
      <c r="O128" s="7"/>
      <c r="P128" s="10" t="s">
        <v>10</v>
      </c>
      <c r="Q128" s="59" t="s">
        <v>192</v>
      </c>
      <c r="R128" s="59"/>
      <c r="S128" s="59"/>
      <c r="T128" s="7" t="s">
        <v>10</v>
      </c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s="1" customFormat="1" ht="8.1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s="1" customFormat="1" ht="14.1" customHeight="1">
      <c r="A130" s="7" t="s">
        <v>194</v>
      </c>
      <c r="B130" s="7"/>
      <c r="C130" s="57" t="s">
        <v>10</v>
      </c>
      <c r="D130" s="57"/>
      <c r="E130" s="57"/>
      <c r="F130" s="57"/>
      <c r="G130" s="57"/>
      <c r="H130" s="57"/>
      <c r="I130" s="57" t="s">
        <v>10</v>
      </c>
      <c r="J130" s="57"/>
      <c r="K130" s="57"/>
      <c r="L130" s="57"/>
      <c r="M130" s="57"/>
      <c r="N130" s="57"/>
      <c r="O130" s="57"/>
      <c r="P130" s="57" t="s">
        <v>193</v>
      </c>
      <c r="Q130" s="57"/>
      <c r="R130" s="57"/>
      <c r="S130" s="57"/>
      <c r="T130" s="57"/>
      <c r="U130" s="7" t="s">
        <v>10</v>
      </c>
      <c r="V130" s="7"/>
      <c r="W130" s="7"/>
      <c r="X130" s="7"/>
      <c r="Y130" s="7"/>
      <c r="Z130" s="7"/>
      <c r="AA130" s="7"/>
      <c r="AB130" s="7"/>
      <c r="AC130" s="7"/>
    </row>
    <row r="131" spans="1:29" s="1" customFormat="1" ht="14.1" customHeight="1">
      <c r="A131" s="7" t="s">
        <v>10</v>
      </c>
      <c r="B131" s="7"/>
      <c r="C131" s="10" t="s">
        <v>10</v>
      </c>
      <c r="D131" s="59" t="s">
        <v>195</v>
      </c>
      <c r="E131" s="59"/>
      <c r="F131" s="59"/>
      <c r="G131" s="59"/>
      <c r="H131" s="10" t="s">
        <v>10</v>
      </c>
      <c r="I131" s="10" t="s">
        <v>10</v>
      </c>
      <c r="J131" s="59" t="s">
        <v>191</v>
      </c>
      <c r="K131" s="59"/>
      <c r="L131" s="59"/>
      <c r="M131" s="59"/>
      <c r="N131" s="7" t="s">
        <v>10</v>
      </c>
      <c r="O131" s="7"/>
      <c r="P131" s="10" t="s">
        <v>10</v>
      </c>
      <c r="Q131" s="59" t="s">
        <v>192</v>
      </c>
      <c r="R131" s="59"/>
      <c r="S131" s="59"/>
      <c r="T131" s="7" t="s">
        <v>10</v>
      </c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s="1" customFormat="1" ht="15.9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s="1" customFormat="1" ht="14.1" customHeight="1">
      <c r="A133" s="60" t="s">
        <v>196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7" t="s">
        <v>10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s="1" customFormat="1" ht="14.1" customHeight="1">
      <c r="A134" s="4" t="s">
        <v>197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</sheetData>
  <mergeCells count="780">
    <mergeCell ref="A132:AC132"/>
    <mergeCell ref="A133:J133"/>
    <mergeCell ref="K133:AC133"/>
    <mergeCell ref="A134:AC134"/>
    <mergeCell ref="A131:B131"/>
    <mergeCell ref="D131:G131"/>
    <mergeCell ref="J131:M131"/>
    <mergeCell ref="N131:O131"/>
    <mergeCell ref="Q131:S131"/>
    <mergeCell ref="T131:AC131"/>
    <mergeCell ref="A129:AC129"/>
    <mergeCell ref="A130:B130"/>
    <mergeCell ref="C130:H130"/>
    <mergeCell ref="I130:O130"/>
    <mergeCell ref="P130:T130"/>
    <mergeCell ref="U130:AC130"/>
    <mergeCell ref="A126:AC126"/>
    <mergeCell ref="A127:H127"/>
    <mergeCell ref="I127:O127"/>
    <mergeCell ref="P127:T127"/>
    <mergeCell ref="U127:AC127"/>
    <mergeCell ref="A128:H128"/>
    <mergeCell ref="J128:M128"/>
    <mergeCell ref="N128:O128"/>
    <mergeCell ref="Q128:S128"/>
    <mergeCell ref="T128:AC128"/>
    <mergeCell ref="A123:AC123"/>
    <mergeCell ref="A124:H124"/>
    <mergeCell ref="I124:O124"/>
    <mergeCell ref="P124:T124"/>
    <mergeCell ref="U124:AC124"/>
    <mergeCell ref="A125:H125"/>
    <mergeCell ref="J125:M125"/>
    <mergeCell ref="N125:O125"/>
    <mergeCell ref="Q125:S125"/>
    <mergeCell ref="T125:AC125"/>
    <mergeCell ref="A122:L122"/>
    <mergeCell ref="M122:O122"/>
    <mergeCell ref="P122:R122"/>
    <mergeCell ref="S122:U122"/>
    <mergeCell ref="V122:Z122"/>
    <mergeCell ref="AA122:AC122"/>
    <mergeCell ref="A121:L121"/>
    <mergeCell ref="M121:O121"/>
    <mergeCell ref="P121:R121"/>
    <mergeCell ref="S121:U121"/>
    <mergeCell ref="V121:Z121"/>
    <mergeCell ref="AA121:AC121"/>
    <mergeCell ref="A120:L120"/>
    <mergeCell ref="M120:O120"/>
    <mergeCell ref="P120:R120"/>
    <mergeCell ref="S120:U120"/>
    <mergeCell ref="V120:Z120"/>
    <mergeCell ref="AA120:AC120"/>
    <mergeCell ref="A119:L119"/>
    <mergeCell ref="M119:O119"/>
    <mergeCell ref="P119:R119"/>
    <mergeCell ref="S119:U119"/>
    <mergeCell ref="V119:Z119"/>
    <mergeCell ref="AA119:AC119"/>
    <mergeCell ref="A117:AC117"/>
    <mergeCell ref="A118:L118"/>
    <mergeCell ref="M118:O118"/>
    <mergeCell ref="P118:R118"/>
    <mergeCell ref="S118:U118"/>
    <mergeCell ref="V118:Z118"/>
    <mergeCell ref="AA118:AC118"/>
    <mergeCell ref="A116:L116"/>
    <mergeCell ref="M116:O116"/>
    <mergeCell ref="P116:R116"/>
    <mergeCell ref="S116:U116"/>
    <mergeCell ref="V116:Z116"/>
    <mergeCell ref="AA116:AC116"/>
    <mergeCell ref="A115:L115"/>
    <mergeCell ref="M115:O115"/>
    <mergeCell ref="P115:R115"/>
    <mergeCell ref="S115:U115"/>
    <mergeCell ref="V115:Z115"/>
    <mergeCell ref="AA115:AC115"/>
    <mergeCell ref="A114:L114"/>
    <mergeCell ref="M114:O114"/>
    <mergeCell ref="P114:R114"/>
    <mergeCell ref="S114:U114"/>
    <mergeCell ref="V114:Z114"/>
    <mergeCell ref="AA114:AC114"/>
    <mergeCell ref="A113:L113"/>
    <mergeCell ref="M113:O113"/>
    <mergeCell ref="P113:R113"/>
    <mergeCell ref="S113:U113"/>
    <mergeCell ref="V113:Z113"/>
    <mergeCell ref="AA113:AC113"/>
    <mergeCell ref="A110:AC110"/>
    <mergeCell ref="A111:AC111"/>
    <mergeCell ref="A112:L112"/>
    <mergeCell ref="M112:O112"/>
    <mergeCell ref="P112:R112"/>
    <mergeCell ref="S112:U112"/>
    <mergeCell ref="V112:Z112"/>
    <mergeCell ref="AA112:AC112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33:AC33"/>
    <mergeCell ref="A34:AC34"/>
    <mergeCell ref="A35:K35"/>
    <mergeCell ref="L35:N35"/>
    <mergeCell ref="O35:Q35"/>
    <mergeCell ref="R35:S35"/>
    <mergeCell ref="T35:V35"/>
    <mergeCell ref="W35:AA35"/>
    <mergeCell ref="AB35:AC35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3" max="16383" man="1"/>
    <brk id="110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2018-05-28T04:43:59Z</dcterms:created>
  <dcterms:modified xsi:type="dcterms:W3CDTF">2018-05-28T04:43:59Z</dcterms:modified>
</cp:coreProperties>
</file>